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371" yWindow="65401" windowWidth="12120" windowHeight="8475" activeTab="0"/>
  </bookViews>
  <sheets>
    <sheet name="Table, Cash" sheetId="1" r:id="rId1"/>
    <sheet name="Chart, Cash" sheetId="2" r:id="rId2"/>
    <sheet name="Table, Finance" sheetId="3" r:id="rId3"/>
    <sheet name="Chart, Finance" sheetId="4" r:id="rId4"/>
  </sheets>
  <definedNames>
    <definedName name="_xlnm.Print_Area" localSheetId="0">'Table, Cash'!$A$1:$K$42</definedName>
    <definedName name="_xlnm.Print_Area" localSheetId="2">'Table, Finance'!$B$1:$K$43</definedName>
  </definedNames>
  <calcPr fullCalcOnLoad="1"/>
</workbook>
</file>

<file path=xl/sharedStrings.xml><?xml version="1.0" encoding="utf-8"?>
<sst xmlns="http://schemas.openxmlformats.org/spreadsheetml/2006/main" count="101" uniqueCount="53">
  <si>
    <t>Annual Cash Flow Model</t>
  </si>
  <si>
    <t>Total Installed Cost ($):</t>
  </si>
  <si>
    <t>Allocation to Business (%):</t>
  </si>
  <si>
    <t>Net</t>
  </si>
  <si>
    <t>Net Loan</t>
  </si>
  <si>
    <t>Annual</t>
  </si>
  <si>
    <t>Total</t>
  </si>
  <si>
    <t>Year</t>
  </si>
  <si>
    <t>Energy</t>
  </si>
  <si>
    <t>Deprec.</t>
  </si>
  <si>
    <t>Payments</t>
  </si>
  <si>
    <t>Cash Flow</t>
  </si>
  <si>
    <t>O &amp; M Cost ($/kWh):</t>
  </si>
  <si>
    <t>O &amp; M Inflation Rate (%):</t>
  </si>
  <si>
    <t>Electricity Cost ($/kWh):</t>
  </si>
  <si>
    <t>Electricity Inflation Rate (%):</t>
  </si>
  <si>
    <t>Loan Downpayment (%):</t>
  </si>
  <si>
    <t>Amount of Loan ($):</t>
  </si>
  <si>
    <t>Loan Term (Years):</t>
  </si>
  <si>
    <t>Month Installed:</t>
  </si>
  <si>
    <t>Net Federal Tax Rate (%):</t>
  </si>
  <si>
    <t>Net State Tax Rate (%):</t>
  </si>
  <si>
    <t>Annual Energy Output (kWh):</t>
  </si>
  <si>
    <t>Down Payment ($):</t>
  </si>
  <si>
    <t>Loan Payments</t>
  </si>
  <si>
    <t>Monthly Payment ($):</t>
  </si>
  <si>
    <t>Net Monthly Payment ($):</t>
  </si>
  <si>
    <t>Value of Interest Deduction ($):</t>
  </si>
  <si>
    <t>Upkeep</t>
  </si>
  <si>
    <t>Costs</t>
  </si>
  <si>
    <t>Interest Rate (%):</t>
  </si>
  <si>
    <t>Assumptions (Inputs)</t>
  </si>
  <si>
    <t>Results</t>
  </si>
  <si>
    <t>Year 30 ($):</t>
  </si>
  <si>
    <t>Year 20 ($):</t>
  </si>
  <si>
    <t>Year 1 ($):</t>
  </si>
  <si>
    <t>Year 10 ($):</t>
  </si>
  <si>
    <t>Ave. Monthly Savings on Bill</t>
  </si>
  <si>
    <t xml:space="preserve">Date:   </t>
  </si>
  <si>
    <t xml:space="preserve">  Prepared for:   </t>
  </si>
  <si>
    <t>O&amp;M</t>
  </si>
  <si>
    <t>Internal Rate of Retrurn</t>
  </si>
  <si>
    <t>Cash flow analysis is pre-tax.</t>
  </si>
  <si>
    <t>Cash flow is pre-tax.</t>
  </si>
  <si>
    <t>Years 1 - 30:</t>
  </si>
  <si>
    <t>Utility-Intertied BWC Excel-S Cash Flow</t>
  </si>
  <si>
    <t>BWC 10 kW GridTek System Cash Flow</t>
  </si>
  <si>
    <t>State Rebate (%):</t>
  </si>
  <si>
    <t>State Tax Credit (%):</t>
  </si>
  <si>
    <t>Federal Tax Credit (%):</t>
  </si>
  <si>
    <t>Conservative assumption of no scrap value after 30 years</t>
  </si>
  <si>
    <t>Conservative assumption of no scrap value after 30 years.</t>
  </si>
  <si>
    <t>United States Customer</t>
  </si>
</sst>
</file>

<file path=xl/styles.xml><?xml version="1.0" encoding="utf-8"?>
<styleSheet xmlns="http://schemas.openxmlformats.org/spreadsheetml/2006/main">
  <numFmts count="22">
    <numFmt numFmtId="5" formatCode="#,##0\ &quot;$&quot;_-;#,##0\ &quot;$&quot;\-"/>
    <numFmt numFmtId="6" formatCode="#,##0\ &quot;$&quot;_-;[Red]#,##0\ &quot;$&quot;\-"/>
    <numFmt numFmtId="7" formatCode="#,##0.00\ &quot;$&quot;_-;#,##0.00\ &quot;$&quot;\-"/>
    <numFmt numFmtId="8" formatCode="#,##0.00\ &quot;$&quot;_-;[Red]#,##0.00\ &quot;$&quot;\-"/>
    <numFmt numFmtId="42" formatCode="_-* #,##0\ &quot;$&quot;_-;_-* #,##0\ &quot;$&quot;\-;_-* &quot;-&quot;\ &quot;$&quot;_-;_-@_-"/>
    <numFmt numFmtId="41" formatCode="_-* #,##0\ _$_-;_-* #,##0\ _$\-;_-* &quot;-&quot;\ _$_-;_-@_-"/>
    <numFmt numFmtId="44" formatCode="_-* #,##0.00\ &quot;$&quot;_-;_-* #,##0.00\ &quot;$&quot;\-;_-* &quot;-&quot;??\ &quot;$&quot;_-;_-@_-"/>
    <numFmt numFmtId="43" formatCode="_-* #,##0.00\ _$_-;_-* #,##0.00\ _$\-;_-* &quot;-&quot;??\ _$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"/>
    <numFmt numFmtId="173" formatCode="&quot;$&quot;#,##0.000"/>
    <numFmt numFmtId="174" formatCode="&quot;$&quot;#,##0.00"/>
    <numFmt numFmtId="175" formatCode="0.0%"/>
    <numFmt numFmtId="176" formatCode="&quot;$&quot;#,##0.0"/>
    <numFmt numFmtId="177" formatCode="&quot;$&quot;#,##0.0000"/>
  </numFmts>
  <fonts count="23">
    <font>
      <sz val="9"/>
      <name val="Helv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Geneva"/>
      <family val="0"/>
    </font>
    <font>
      <sz val="10"/>
      <name val="Arial"/>
      <family val="0"/>
    </font>
    <font>
      <b/>
      <sz val="19.75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sz val="12"/>
      <name val="Arial"/>
      <family val="2"/>
    </font>
    <font>
      <b/>
      <sz val="22"/>
      <name val="Arial"/>
      <family val="2"/>
    </font>
    <font>
      <b/>
      <sz val="20"/>
      <name val="Arial"/>
      <family val="2"/>
    </font>
    <font>
      <b/>
      <sz val="17.75"/>
      <name val="Arial"/>
      <family val="2"/>
    </font>
    <font>
      <b/>
      <sz val="14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9"/>
      <color indexed="10"/>
      <name val="Arial"/>
      <family val="2"/>
    </font>
    <font>
      <sz val="8"/>
      <name val="Helv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8" fillId="0" borderId="1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3" fontId="8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164" fontId="8" fillId="0" borderId="0" xfId="0" applyNumberFormat="1" applyFont="1" applyAlignment="1">
      <alignment/>
    </xf>
    <xf numFmtId="0" fontId="8" fillId="0" borderId="2" xfId="0" applyFont="1" applyBorder="1" applyAlignment="1">
      <alignment/>
    </xf>
    <xf numFmtId="0" fontId="8" fillId="0" borderId="0" xfId="0" applyFont="1" applyBorder="1" applyAlignment="1">
      <alignment/>
    </xf>
    <xf numFmtId="0" fontId="11" fillId="0" borderId="0" xfId="0" applyFont="1" applyAlignment="1">
      <alignment horizontal="right"/>
    </xf>
    <xf numFmtId="0" fontId="11" fillId="0" borderId="3" xfId="0" applyFont="1" applyBorder="1" applyAlignment="1">
      <alignment horizontal="right"/>
    </xf>
    <xf numFmtId="164" fontId="11" fillId="0" borderId="4" xfId="0" applyNumberFormat="1" applyFont="1" applyBorder="1" applyAlignment="1">
      <alignment/>
    </xf>
    <xf numFmtId="164" fontId="11" fillId="0" borderId="4" xfId="0" applyNumberFormat="1" applyFont="1" applyFill="1" applyBorder="1" applyAlignment="1">
      <alignment/>
    </xf>
    <xf numFmtId="0" fontId="7" fillId="0" borderId="2" xfId="0" applyFont="1" applyBorder="1" applyAlignment="1">
      <alignment/>
    </xf>
    <xf numFmtId="0" fontId="9" fillId="0" borderId="1" xfId="0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172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3" fontId="10" fillId="0" borderId="0" xfId="0" applyNumberFormat="1" applyFont="1" applyBorder="1" applyAlignment="1">
      <alignment/>
    </xf>
    <xf numFmtId="173" fontId="10" fillId="0" borderId="0" xfId="0" applyNumberFormat="1" applyFont="1" applyBorder="1" applyAlignment="1">
      <alignment/>
    </xf>
    <xf numFmtId="174" fontId="10" fillId="0" borderId="0" xfId="0" applyNumberFormat="1" applyFont="1" applyBorder="1" applyAlignment="1">
      <alignment/>
    </xf>
    <xf numFmtId="0" fontId="9" fillId="0" borderId="1" xfId="0" applyFont="1" applyBorder="1" applyAlignment="1">
      <alignment/>
    </xf>
    <xf numFmtId="0" fontId="10" fillId="0" borderId="0" xfId="0" applyFont="1" applyBorder="1" applyAlignment="1">
      <alignment horizontal="right"/>
    </xf>
    <xf numFmtId="0" fontId="14" fillId="0" borderId="0" xfId="0" applyFont="1" applyAlignment="1">
      <alignment horizontal="right"/>
    </xf>
    <xf numFmtId="14" fontId="14" fillId="0" borderId="0" xfId="0" applyNumberFormat="1" applyFont="1" applyAlignment="1">
      <alignment horizontal="right"/>
    </xf>
    <xf numFmtId="0" fontId="15" fillId="0" borderId="2" xfId="0" applyFont="1" applyBorder="1" applyAlignment="1">
      <alignment/>
    </xf>
    <xf numFmtId="0" fontId="10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right"/>
    </xf>
    <xf numFmtId="172" fontId="11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3" fontId="11" fillId="0" borderId="0" xfId="0" applyNumberFormat="1" applyFont="1" applyBorder="1" applyAlignment="1">
      <alignment/>
    </xf>
    <xf numFmtId="173" fontId="11" fillId="0" borderId="0" xfId="0" applyNumberFormat="1" applyFont="1" applyBorder="1" applyAlignment="1">
      <alignment/>
    </xf>
    <xf numFmtId="0" fontId="5" fillId="0" borderId="0" xfId="0" applyFont="1" applyAlignment="1">
      <alignment horizontal="right"/>
    </xf>
    <xf numFmtId="164" fontId="11" fillId="0" borderId="0" xfId="0" applyNumberFormat="1" applyFont="1" applyAlignment="1">
      <alignment/>
    </xf>
    <xf numFmtId="172" fontId="11" fillId="0" borderId="0" xfId="0" applyNumberFormat="1" applyFont="1" applyAlignment="1">
      <alignment/>
    </xf>
    <xf numFmtId="175" fontId="11" fillId="0" borderId="0" xfId="0" applyNumberFormat="1" applyFont="1" applyAlignment="1">
      <alignment/>
    </xf>
    <xf numFmtId="0" fontId="9" fillId="0" borderId="3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164" fontId="11" fillId="2" borderId="4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19" fillId="0" borderId="0" xfId="0" applyFont="1" applyAlignment="1">
      <alignment/>
    </xf>
    <xf numFmtId="0" fontId="9" fillId="0" borderId="6" xfId="0" applyFont="1" applyBorder="1" applyAlignment="1">
      <alignment horizontal="center"/>
    </xf>
    <xf numFmtId="164" fontId="11" fillId="0" borderId="6" xfId="0" applyNumberFormat="1" applyFont="1" applyBorder="1" applyAlignment="1">
      <alignment/>
    </xf>
    <xf numFmtId="0" fontId="11" fillId="0" borderId="5" xfId="0" applyFont="1" applyBorder="1" applyAlignment="1">
      <alignment horizontal="right"/>
    </xf>
    <xf numFmtId="164" fontId="11" fillId="0" borderId="5" xfId="0" applyNumberFormat="1" applyFont="1" applyBorder="1" applyAlignment="1">
      <alignment horizontal="right"/>
    </xf>
    <xf numFmtId="177" fontId="11" fillId="0" borderId="0" xfId="0" applyNumberFormat="1" applyFont="1" applyBorder="1" applyAlignment="1">
      <alignment/>
    </xf>
    <xf numFmtId="14" fontId="9" fillId="0" borderId="0" xfId="0" applyNumberFormat="1" applyFont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21" fillId="0" borderId="7" xfId="0" applyFont="1" applyBorder="1" applyAlignment="1">
      <alignment horizontal="left" vertical="center"/>
    </xf>
    <xf numFmtId="14" fontId="9" fillId="0" borderId="0" xfId="0" applyNumberFormat="1" applyFont="1" applyAlignment="1">
      <alignment horizontal="center"/>
    </xf>
  </cellXfs>
  <cellStyles count="6">
    <cellStyle name="Normal" xfId="0"/>
    <cellStyle name="Hyperlink" xfId="15"/>
    <cellStyle name="Followed Hyperlink" xfId="16"/>
    <cellStyle name="Comma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/>
              <a:t>10 kW Bergey Wind Turbine
Annual and Total Cash Flow</a:t>
            </a:r>
          </a:p>
        </c:rich>
      </c:tx>
      <c:layout>
        <c:manualLayout>
          <c:xMode val="factor"/>
          <c:yMode val="factor"/>
          <c:x val="-0.12825"/>
          <c:y val="0.21375"/>
        </c:manualLayout>
      </c:layout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925"/>
          <c:y val="0.13"/>
          <c:w val="0.979"/>
          <c:h val="0.815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Cash'!$E$12:$E$41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Cash'!$J$12:$J$41</c:f>
              <c:numCache>
                <c:ptCount val="30"/>
                <c:pt idx="0">
                  <c:v>1440</c:v>
                </c:pt>
                <c:pt idx="1">
                  <c:v>1468.8</c:v>
                </c:pt>
                <c:pt idx="2">
                  <c:v>1498.176</c:v>
                </c:pt>
                <c:pt idx="3">
                  <c:v>1528.1395199999997</c:v>
                </c:pt>
                <c:pt idx="4">
                  <c:v>1558.7023103999998</c:v>
                </c:pt>
                <c:pt idx="5">
                  <c:v>1520.31991215</c:v>
                </c:pt>
                <c:pt idx="6">
                  <c:v>1550.0307459484202</c:v>
                </c:pt>
                <c:pt idx="7">
                  <c:v>1580.3149294894708</c:v>
                </c:pt>
                <c:pt idx="8">
                  <c:v>1611.1833037600054</c:v>
                </c:pt>
                <c:pt idx="9">
                  <c:v>1642.6469077863728</c:v>
                </c:pt>
                <c:pt idx="10">
                  <c:v>1674.716982031803</c:v>
                </c:pt>
                <c:pt idx="11">
                  <c:v>1707.4049718448323</c:v>
                </c:pt>
                <c:pt idx="12">
                  <c:v>1740.7225309592943</c:v>
                </c:pt>
                <c:pt idx="13">
                  <c:v>1774.6815250463724</c:v>
                </c:pt>
                <c:pt idx="14">
                  <c:v>1809.294035319229</c:v>
                </c:pt>
                <c:pt idx="15">
                  <c:v>1844.5723621907002</c:v>
                </c:pt>
                <c:pt idx="16">
                  <c:v>1880.529028984554</c:v>
                </c:pt>
                <c:pt idx="17">
                  <c:v>1917.1767857007858</c:v>
                </c:pt>
                <c:pt idx="18">
                  <c:v>1954.5286128354383</c:v>
                </c:pt>
                <c:pt idx="19">
                  <c:v>1992.5977252554032</c:v>
                </c:pt>
                <c:pt idx="20">
                  <c:v>2031.3975761286654</c:v>
                </c:pt>
                <c:pt idx="21">
                  <c:v>2070.941860910437</c:v>
                </c:pt>
                <c:pt idx="22">
                  <c:v>2111.24452138562</c:v>
                </c:pt>
                <c:pt idx="23">
                  <c:v>2152.3197497680153</c:v>
                </c:pt>
                <c:pt idx="24">
                  <c:v>2194.1819928567</c:v>
                </c:pt>
                <c:pt idx="25">
                  <c:v>2236.8459562499575</c:v>
                </c:pt>
                <c:pt idx="26">
                  <c:v>2280.3266086171648</c:v>
                </c:pt>
                <c:pt idx="27">
                  <c:v>2324.639186028981</c:v>
                </c:pt>
                <c:pt idx="28">
                  <c:v>2369.799196346219</c:v>
                </c:pt>
                <c:pt idx="29">
                  <c:v>2415.822423667701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Cash'!$K$12:$K$41</c:f>
              <c:numCache>
                <c:ptCount val="30"/>
                <c:pt idx="0">
                  <c:v>-33560</c:v>
                </c:pt>
                <c:pt idx="1">
                  <c:v>-32091.2</c:v>
                </c:pt>
                <c:pt idx="2">
                  <c:v>-30593.024</c:v>
                </c:pt>
                <c:pt idx="3">
                  <c:v>-29064.88448</c:v>
                </c:pt>
                <c:pt idx="4">
                  <c:v>-27506.1821696</c:v>
                </c:pt>
                <c:pt idx="5">
                  <c:v>-25985.86225745</c:v>
                </c:pt>
                <c:pt idx="6">
                  <c:v>-24435.83151150158</c:v>
                </c:pt>
                <c:pt idx="7">
                  <c:v>-22855.516582012107</c:v>
                </c:pt>
                <c:pt idx="8">
                  <c:v>-21244.333278252103</c:v>
                </c:pt>
                <c:pt idx="9">
                  <c:v>-19601.68637046573</c:v>
                </c:pt>
                <c:pt idx="10">
                  <c:v>-17926.96938843393</c:v>
                </c:pt>
                <c:pt idx="11">
                  <c:v>-16219.564416589095</c:v>
                </c:pt>
                <c:pt idx="12">
                  <c:v>-14478.841885629801</c:v>
                </c:pt>
                <c:pt idx="13">
                  <c:v>-12704.160360583428</c:v>
                </c:pt>
                <c:pt idx="14">
                  <c:v>-10894.8663252642</c:v>
                </c:pt>
                <c:pt idx="15">
                  <c:v>-9050.2939630735</c:v>
                </c:pt>
                <c:pt idx="16">
                  <c:v>-7169.764934088946</c:v>
                </c:pt>
                <c:pt idx="17">
                  <c:v>-5252.58814838816</c:v>
                </c:pt>
                <c:pt idx="18">
                  <c:v>-3298.059535552722</c:v>
                </c:pt>
                <c:pt idx="19">
                  <c:v>-1305.4618102973188</c:v>
                </c:pt>
                <c:pt idx="20">
                  <c:v>725.9357658313465</c:v>
                </c:pt>
                <c:pt idx="21">
                  <c:v>2796.8776267417834</c:v>
                </c:pt>
                <c:pt idx="22">
                  <c:v>4908.122148127403</c:v>
                </c:pt>
                <c:pt idx="23">
                  <c:v>7060.441897895418</c:v>
                </c:pt>
                <c:pt idx="24">
                  <c:v>9254.623890752118</c:v>
                </c:pt>
                <c:pt idx="25">
                  <c:v>11491.469847002076</c:v>
                </c:pt>
                <c:pt idx="26">
                  <c:v>13771.79645561924</c:v>
                </c:pt>
                <c:pt idx="27">
                  <c:v>16096.43564164822</c:v>
                </c:pt>
                <c:pt idx="28">
                  <c:v>18466.234837994438</c:v>
                </c:pt>
                <c:pt idx="29">
                  <c:v>20882.05726166214</c:v>
                </c:pt>
              </c:numCache>
            </c:numRef>
          </c:val>
          <c:smooth val="0"/>
        </c:ser>
        <c:upDownBars>
          <c:upBars/>
          <c:downBars/>
        </c:upDownBars>
        <c:axId val="15256877"/>
        <c:axId val="3094166"/>
      </c:lineChart>
      <c:catAx>
        <c:axId val="152568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/>
                  <a:t>Years</a:t>
                </a:r>
              </a:p>
            </c:rich>
          </c:tx>
          <c:layout>
            <c:manualLayout>
              <c:xMode val="factor"/>
              <c:yMode val="factor"/>
              <c:x val="0.02525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/>
          </a:ln>
        </c:spPr>
        <c:crossAx val="3094166"/>
        <c:crosses val="autoZero"/>
        <c:auto val="1"/>
        <c:lblOffset val="100"/>
        <c:noMultiLvlLbl val="0"/>
      </c:catAx>
      <c:valAx>
        <c:axId val="3094166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25400">
            <a:solidFill/>
          </a:ln>
        </c:spPr>
        <c:crossAx val="1525687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/>
              <a:t>10 kW Bergey Wind Turbine
Annual and Total Cash Flow</a:t>
            </a:r>
          </a:p>
        </c:rich>
      </c:tx>
      <c:layout>
        <c:manualLayout>
          <c:xMode val="factor"/>
          <c:yMode val="factor"/>
          <c:x val="-0.1265"/>
          <c:y val="0.168"/>
        </c:manualLayout>
      </c:layout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925"/>
          <c:y val="0.1265"/>
          <c:w val="0.979"/>
          <c:h val="0.818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Cash'!$E$12:$E$41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Finance'!$J$12:$J$41</c:f>
              <c:numCache>
                <c:ptCount val="30"/>
                <c:pt idx="0">
                  <c:v>-3383.925430991855</c:v>
                </c:pt>
                <c:pt idx="1">
                  <c:v>-3355.125430991855</c:v>
                </c:pt>
                <c:pt idx="2">
                  <c:v>-3325.749430991855</c:v>
                </c:pt>
                <c:pt idx="3">
                  <c:v>-3295.7859109918554</c:v>
                </c:pt>
                <c:pt idx="4">
                  <c:v>-3265.223120591855</c:v>
                </c:pt>
                <c:pt idx="5">
                  <c:v>-3303.605518841855</c:v>
                </c:pt>
                <c:pt idx="6">
                  <c:v>-3273.894685043435</c:v>
                </c:pt>
                <c:pt idx="7">
                  <c:v>-3243.610501502384</c:v>
                </c:pt>
                <c:pt idx="8">
                  <c:v>1611.1833037600054</c:v>
                </c:pt>
                <c:pt idx="9">
                  <c:v>1642.6469077863728</c:v>
                </c:pt>
                <c:pt idx="10">
                  <c:v>1674.716982031803</c:v>
                </c:pt>
                <c:pt idx="11">
                  <c:v>1707.4049718448323</c:v>
                </c:pt>
                <c:pt idx="12">
                  <c:v>1740.7225309592943</c:v>
                </c:pt>
                <c:pt idx="13">
                  <c:v>1774.6815250463724</c:v>
                </c:pt>
                <c:pt idx="14">
                  <c:v>1809.294035319229</c:v>
                </c:pt>
                <c:pt idx="15">
                  <c:v>1844.5723621907002</c:v>
                </c:pt>
                <c:pt idx="16">
                  <c:v>1880.529028984554</c:v>
                </c:pt>
                <c:pt idx="17">
                  <c:v>1917.1767857007858</c:v>
                </c:pt>
                <c:pt idx="18">
                  <c:v>1954.5286128354383</c:v>
                </c:pt>
                <c:pt idx="19">
                  <c:v>1992.5977252554032</c:v>
                </c:pt>
                <c:pt idx="20">
                  <c:v>2031.3975761286654</c:v>
                </c:pt>
                <c:pt idx="21">
                  <c:v>2070.941860910437</c:v>
                </c:pt>
                <c:pt idx="22">
                  <c:v>2111.24452138562</c:v>
                </c:pt>
                <c:pt idx="23">
                  <c:v>2152.3197497680153</c:v>
                </c:pt>
                <c:pt idx="24">
                  <c:v>2194.1819928567</c:v>
                </c:pt>
                <c:pt idx="25">
                  <c:v>2236.8459562499575</c:v>
                </c:pt>
                <c:pt idx="26">
                  <c:v>2280.3266086171648</c:v>
                </c:pt>
                <c:pt idx="27">
                  <c:v>2324.639186028981</c:v>
                </c:pt>
                <c:pt idx="28">
                  <c:v>2369.799196346219</c:v>
                </c:pt>
                <c:pt idx="29">
                  <c:v>2415.822423667701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Finance'!$K$12:$K$41</c:f>
              <c:numCache>
                <c:ptCount val="30"/>
                <c:pt idx="0">
                  <c:v>-6883.925430991855</c:v>
                </c:pt>
                <c:pt idx="1">
                  <c:v>-10239.05086198371</c:v>
                </c:pt>
                <c:pt idx="2">
                  <c:v>-13564.800292975564</c:v>
                </c:pt>
                <c:pt idx="3">
                  <c:v>-16860.586203967418</c:v>
                </c:pt>
                <c:pt idx="4">
                  <c:v>-20125.80932455927</c:v>
                </c:pt>
                <c:pt idx="5">
                  <c:v>-23429.414843401126</c:v>
                </c:pt>
                <c:pt idx="6">
                  <c:v>-26703.30952844456</c:v>
                </c:pt>
                <c:pt idx="7">
                  <c:v>-29946.920029946945</c:v>
                </c:pt>
                <c:pt idx="8">
                  <c:v>-28335.73672618694</c:v>
                </c:pt>
                <c:pt idx="9">
                  <c:v>-26693.089818400567</c:v>
                </c:pt>
                <c:pt idx="10">
                  <c:v>-25018.372836368766</c:v>
                </c:pt>
                <c:pt idx="11">
                  <c:v>-23310.967864523933</c:v>
                </c:pt>
                <c:pt idx="12">
                  <c:v>-21570.24533356464</c:v>
                </c:pt>
                <c:pt idx="13">
                  <c:v>-19795.563808518265</c:v>
                </c:pt>
                <c:pt idx="14">
                  <c:v>-17986.269773199037</c:v>
                </c:pt>
                <c:pt idx="15">
                  <c:v>-16141.697411008337</c:v>
                </c:pt>
                <c:pt idx="16">
                  <c:v>-14261.168382023783</c:v>
                </c:pt>
                <c:pt idx="17">
                  <c:v>-12343.991596322998</c:v>
                </c:pt>
                <c:pt idx="18">
                  <c:v>-10389.46298348756</c:v>
                </c:pt>
                <c:pt idx="19">
                  <c:v>-8396.865258232156</c:v>
                </c:pt>
                <c:pt idx="20">
                  <c:v>-6365.46768210349</c:v>
                </c:pt>
                <c:pt idx="21">
                  <c:v>-4294.525821193053</c:v>
                </c:pt>
                <c:pt idx="22">
                  <c:v>-2183.2812998074332</c:v>
                </c:pt>
                <c:pt idx="23">
                  <c:v>-30.961550039417943</c:v>
                </c:pt>
                <c:pt idx="24">
                  <c:v>2163.220442817282</c:v>
                </c:pt>
                <c:pt idx="25">
                  <c:v>4400.06639906724</c:v>
                </c:pt>
                <c:pt idx="26">
                  <c:v>6680.393007684404</c:v>
                </c:pt>
                <c:pt idx="27">
                  <c:v>9005.032193713385</c:v>
                </c:pt>
                <c:pt idx="28">
                  <c:v>11374.831390059604</c:v>
                </c:pt>
                <c:pt idx="29">
                  <c:v>13790.653813727306</c:v>
                </c:pt>
              </c:numCache>
            </c:numRef>
          </c:val>
          <c:smooth val="0"/>
        </c:ser>
        <c:upDownBars>
          <c:upBars/>
          <c:downBars/>
        </c:upDownBars>
        <c:axId val="27847495"/>
        <c:axId val="49300864"/>
      </c:lineChart>
      <c:catAx>
        <c:axId val="278474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Years</a:t>
                </a:r>
              </a:p>
            </c:rich>
          </c:tx>
          <c:layout>
            <c:manualLayout>
              <c:xMode val="factor"/>
              <c:yMode val="factor"/>
              <c:x val="0.015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/>
          </a:ln>
        </c:spPr>
        <c:crossAx val="49300864"/>
        <c:crosses val="autoZero"/>
        <c:auto val="1"/>
        <c:lblOffset val="100"/>
        <c:noMultiLvlLbl val="0"/>
      </c:catAx>
      <c:valAx>
        <c:axId val="49300864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25400">
            <a:solidFill/>
          </a:ln>
        </c:spPr>
        <c:crossAx val="2784749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2</xdr:row>
      <xdr:rowOff>95250</xdr:rowOff>
    </xdr:from>
    <xdr:to>
      <xdr:col>10</xdr:col>
      <xdr:colOff>800100</xdr:colOff>
      <xdr:row>4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62600" y="619125"/>
          <a:ext cx="24860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/>
            <a:t> Cash Purchase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0.25975</cdr:x>
      <cdr:y>0.45525</cdr:y>
    </cdr:from>
    <cdr:to>
      <cdr:x>0.4835</cdr:x>
      <cdr:y>0.5185</cdr:y>
    </cdr:to>
    <cdr:sp>
      <cdr:nvSpPr>
        <cdr:cNvPr id="1" name="TextBox 1"/>
        <cdr:cNvSpPr txBox="1">
          <a:spLocks noChangeArrowheads="1"/>
        </cdr:cNvSpPr>
      </cdr:nvSpPr>
      <cdr:spPr>
        <a:xfrm>
          <a:off x="2228850" y="2705100"/>
          <a:ext cx="192405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975" b="1" i="0" u="none" baseline="0"/>
            <a:t>Cash Purchase</a:t>
          </a:r>
        </a:p>
      </cdr:txBody>
    </cdr:sp>
  </cdr:relSizeAnchor>
  <cdr:relSizeAnchor xmlns:cdr="http://schemas.openxmlformats.org/drawingml/2006/chartDrawing">
    <cdr:from>
      <cdr:x>0.12225</cdr:x>
      <cdr:y>0.721</cdr:y>
    </cdr:from>
    <cdr:to>
      <cdr:x>0.20275</cdr:x>
      <cdr:y>0.7695</cdr:y>
    </cdr:to>
    <cdr:sp>
      <cdr:nvSpPr>
        <cdr:cNvPr id="2" name="TextBox 2"/>
        <cdr:cNvSpPr txBox="1">
          <a:spLocks noChangeArrowheads="1"/>
        </cdr:cNvSpPr>
      </cdr:nvSpPr>
      <cdr:spPr>
        <a:xfrm>
          <a:off x="1047750" y="4295775"/>
          <a:ext cx="6953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Annual</a:t>
          </a:r>
        </a:p>
      </cdr:txBody>
    </cdr:sp>
  </cdr:relSizeAnchor>
  <cdr:relSizeAnchor xmlns:cdr="http://schemas.openxmlformats.org/drawingml/2006/chartDrawing">
    <cdr:from>
      <cdr:x>0.58125</cdr:x>
      <cdr:y>0.45525</cdr:y>
    </cdr:from>
    <cdr:to>
      <cdr:x>0.644</cdr:x>
      <cdr:y>0.50375</cdr:y>
    </cdr:to>
    <cdr:sp>
      <cdr:nvSpPr>
        <cdr:cNvPr id="3" name="TextBox 3"/>
        <cdr:cNvSpPr txBox="1">
          <a:spLocks noChangeArrowheads="1"/>
        </cdr:cNvSpPr>
      </cdr:nvSpPr>
      <cdr:spPr>
        <a:xfrm>
          <a:off x="5000625" y="2705100"/>
          <a:ext cx="5429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1" i="0" u="none" baseline="0"/>
            <a:t>Total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2</xdr:row>
      <xdr:rowOff>95250</xdr:rowOff>
    </xdr:from>
    <xdr:to>
      <xdr:col>10</xdr:col>
      <xdr:colOff>800100</xdr:colOff>
      <xdr:row>4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43550" y="619125"/>
          <a:ext cx="26003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/>
            <a:t> With Financing</a:t>
          </a:r>
        </a:p>
      </xdr:txBody>
    </xdr:sp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0.21375</cdr:x>
      <cdr:y>0.3885</cdr:y>
    </cdr:from>
    <cdr:to>
      <cdr:x>0.51575</cdr:x>
      <cdr:y>0.515</cdr:y>
    </cdr:to>
    <cdr:sp>
      <cdr:nvSpPr>
        <cdr:cNvPr id="1" name="TextBox 1"/>
        <cdr:cNvSpPr txBox="1">
          <a:spLocks noChangeArrowheads="1"/>
        </cdr:cNvSpPr>
      </cdr:nvSpPr>
      <cdr:spPr>
        <a:xfrm>
          <a:off x="1838325" y="2314575"/>
          <a:ext cx="2600325" cy="752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975" b="1" i="0" u="none" baseline="0"/>
            <a:t>With Home Equity Financing
</a:t>
          </a:r>
        </a:p>
      </cdr:txBody>
    </cdr:sp>
  </cdr:relSizeAnchor>
  <cdr:relSizeAnchor xmlns:cdr="http://schemas.openxmlformats.org/drawingml/2006/chartDrawing">
    <cdr:from>
      <cdr:x>0.1465</cdr:x>
      <cdr:y>0.71725</cdr:y>
    </cdr:from>
    <cdr:to>
      <cdr:x>0.227</cdr:x>
      <cdr:y>0.76575</cdr:y>
    </cdr:to>
    <cdr:sp>
      <cdr:nvSpPr>
        <cdr:cNvPr id="2" name="TextBox 2"/>
        <cdr:cNvSpPr txBox="1">
          <a:spLocks noChangeArrowheads="1"/>
        </cdr:cNvSpPr>
      </cdr:nvSpPr>
      <cdr:spPr>
        <a:xfrm>
          <a:off x="1257300" y="4267200"/>
          <a:ext cx="6953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Annual</a:t>
          </a:r>
        </a:p>
      </cdr:txBody>
    </cdr:sp>
  </cdr:relSizeAnchor>
  <cdr:relSizeAnchor xmlns:cdr="http://schemas.openxmlformats.org/drawingml/2006/chartDrawing">
    <cdr:from>
      <cdr:x>0.672</cdr:x>
      <cdr:y>0.3885</cdr:y>
    </cdr:from>
    <cdr:to>
      <cdr:x>0.73475</cdr:x>
      <cdr:y>0.437</cdr:y>
    </cdr:to>
    <cdr:sp>
      <cdr:nvSpPr>
        <cdr:cNvPr id="3" name="TextBox 3"/>
        <cdr:cNvSpPr txBox="1">
          <a:spLocks noChangeArrowheads="1"/>
        </cdr:cNvSpPr>
      </cdr:nvSpPr>
      <cdr:spPr>
        <a:xfrm>
          <a:off x="5781675" y="2314575"/>
          <a:ext cx="5429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1" i="0" u="none" baseline="0"/>
            <a:t>Total</a:t>
          </a:r>
        </a:p>
      </cdr:txBody>
    </cdr:sp>
  </cdr:relSizeAnchor>
  <cdr:relSizeAnchor xmlns:cdr="http://schemas.openxmlformats.org/drawingml/2006/chartDrawing">
    <cdr:from>
      <cdr:x>0.2255</cdr:x>
      <cdr:y>0.743</cdr:y>
    </cdr:from>
    <cdr:to>
      <cdr:x>0.283</cdr:x>
      <cdr:y>0.82225</cdr:y>
    </cdr:to>
    <cdr:sp>
      <cdr:nvSpPr>
        <cdr:cNvPr id="4" name="Line 4"/>
        <cdr:cNvSpPr>
          <a:spLocks/>
        </cdr:cNvSpPr>
      </cdr:nvSpPr>
      <cdr:spPr>
        <a:xfrm>
          <a:off x="1933575" y="4429125"/>
          <a:ext cx="49530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4"/>
  <sheetViews>
    <sheetView tabSelected="1" workbookViewId="0" topLeftCell="A1">
      <selection activeCell="C9" sqref="C9"/>
    </sheetView>
  </sheetViews>
  <sheetFormatPr defaultColWidth="11.421875" defaultRowHeight="12"/>
  <cols>
    <col min="1" max="1" width="2.28125" style="2" customWidth="1"/>
    <col min="2" max="2" width="29.28125" style="2" customWidth="1"/>
    <col min="3" max="3" width="9.7109375" style="2" customWidth="1"/>
    <col min="4" max="4" width="4.140625" style="2" customWidth="1"/>
    <col min="5" max="5" width="10.00390625" style="2" customWidth="1"/>
    <col min="6" max="6" width="10.28125" style="2" customWidth="1"/>
    <col min="7" max="7" width="9.7109375" style="2" customWidth="1"/>
    <col min="8" max="8" width="10.140625" style="2" customWidth="1"/>
    <col min="9" max="9" width="11.140625" style="2" customWidth="1"/>
    <col min="10" max="10" width="12.00390625" style="2" customWidth="1"/>
    <col min="11" max="11" width="12.28125" style="2" customWidth="1"/>
    <col min="12" max="12" width="10.28125" style="2" customWidth="1"/>
    <col min="13" max="15" width="12.00390625" style="2" customWidth="1"/>
    <col min="16" max="24" width="8.00390625" style="2" customWidth="1"/>
    <col min="25" max="16384" width="12.00390625" style="2" customWidth="1"/>
  </cols>
  <sheetData>
    <row r="1" spans="2:12" ht="28.5" thickBot="1">
      <c r="B1" s="28" t="s">
        <v>46</v>
      </c>
      <c r="C1" s="10"/>
      <c r="D1" s="10"/>
      <c r="E1" s="10"/>
      <c r="F1" s="10"/>
      <c r="G1" s="10"/>
      <c r="H1" s="10"/>
      <c r="I1" s="10"/>
      <c r="J1" s="10"/>
      <c r="K1" s="11"/>
      <c r="L1" s="11"/>
    </row>
    <row r="2" ht="12.75" thickTop="1"/>
    <row r="3" spans="2:3" ht="15.75">
      <c r="B3" s="26" t="s">
        <v>39</v>
      </c>
      <c r="C3" s="45" t="s">
        <v>52</v>
      </c>
    </row>
    <row r="4" spans="2:5" ht="15.75">
      <c r="B4" s="27" t="s">
        <v>38</v>
      </c>
      <c r="C4" s="52">
        <f ca="1">NOW()</f>
        <v>37630.00560613426</v>
      </c>
      <c r="D4" s="52"/>
      <c r="E4" s="52"/>
    </row>
    <row r="6" spans="2:12" ht="18.75" thickBot="1">
      <c r="B6" s="17" t="s">
        <v>31</v>
      </c>
      <c r="C6" s="1"/>
      <c r="E6" s="16" t="s">
        <v>0</v>
      </c>
      <c r="F6" s="10"/>
      <c r="G6" s="10"/>
      <c r="H6" s="10"/>
      <c r="I6" s="10"/>
      <c r="J6" s="10"/>
      <c r="K6" s="10"/>
      <c r="L6" s="11"/>
    </row>
    <row r="7" spans="2:3" ht="13.5" thickTop="1">
      <c r="B7" s="30" t="s">
        <v>1</v>
      </c>
      <c r="C7" s="31">
        <v>35000</v>
      </c>
    </row>
    <row r="8" spans="2:11" ht="12.75">
      <c r="B8" s="30" t="s">
        <v>2</v>
      </c>
      <c r="C8" s="32">
        <v>0</v>
      </c>
      <c r="E8" s="53" t="s">
        <v>7</v>
      </c>
      <c r="F8" s="12" t="s">
        <v>3</v>
      </c>
      <c r="G8" s="12" t="s">
        <v>40</v>
      </c>
      <c r="H8" s="12" t="s">
        <v>3</v>
      </c>
      <c r="I8" s="12" t="s">
        <v>4</v>
      </c>
      <c r="J8" s="12" t="s">
        <v>5</v>
      </c>
      <c r="K8" s="12" t="s">
        <v>6</v>
      </c>
    </row>
    <row r="9" spans="2:11" ht="13.5" thickBot="1">
      <c r="B9" s="30" t="s">
        <v>22</v>
      </c>
      <c r="C9" s="33">
        <v>12000</v>
      </c>
      <c r="E9" s="54"/>
      <c r="F9" s="13" t="s">
        <v>8</v>
      </c>
      <c r="G9" s="13" t="s">
        <v>29</v>
      </c>
      <c r="H9" s="13" t="s">
        <v>9</v>
      </c>
      <c r="I9" s="13" t="s">
        <v>10</v>
      </c>
      <c r="J9" s="13" t="s">
        <v>11</v>
      </c>
      <c r="K9" s="13" t="s">
        <v>11</v>
      </c>
    </row>
    <row r="10" spans="2:11" ht="15.75">
      <c r="B10" s="30" t="s">
        <v>14</v>
      </c>
      <c r="C10" s="51">
        <v>0.12</v>
      </c>
      <c r="E10" s="40">
        <v>0</v>
      </c>
      <c r="F10" s="49"/>
      <c r="G10" s="49"/>
      <c r="H10" s="49"/>
      <c r="I10" s="49"/>
      <c r="J10" s="50">
        <f>-(C13-(C13*C24/100))+((C13*(1-C24/100))*C22/100)+((C13*(1-C24/100))*(1-C22/100)*C23/100)</f>
        <v>-35000</v>
      </c>
      <c r="K10" s="50">
        <f>J10</f>
        <v>-35000</v>
      </c>
    </row>
    <row r="11" spans="2:11" ht="15.75" customHeight="1">
      <c r="B11" s="30" t="s">
        <v>15</v>
      </c>
      <c r="C11" s="32">
        <v>2</v>
      </c>
      <c r="E11" s="55"/>
      <c r="F11" s="55"/>
      <c r="G11" s="55"/>
      <c r="H11" s="55"/>
      <c r="I11" s="55"/>
      <c r="J11" s="55"/>
      <c r="K11" s="55"/>
    </row>
    <row r="12" spans="2:11" ht="15.75">
      <c r="B12" s="30" t="s">
        <v>16</v>
      </c>
      <c r="C12" s="32">
        <v>100</v>
      </c>
      <c r="E12" s="47">
        <v>1</v>
      </c>
      <c r="F12" s="48">
        <f>($C$9*($C$10*(1+($C$11/100))^(E12-1)))*(1-(C17/12))</f>
        <v>1440</v>
      </c>
      <c r="G12" s="48">
        <v>0</v>
      </c>
      <c r="H12" s="48">
        <f>(-J10*0.44)*($C$18/100)*($C$8/100)</f>
        <v>0</v>
      </c>
      <c r="I12" s="48">
        <f>IF(E12&lt;=$C$16,(12-C17)*$C$31,0)</f>
        <v>0</v>
      </c>
      <c r="J12" s="48">
        <f>F12+H12+G12+I12</f>
        <v>1440</v>
      </c>
      <c r="K12" s="48">
        <f>J10+J12</f>
        <v>-33560</v>
      </c>
    </row>
    <row r="13" spans="2:16" ht="15.75">
      <c r="B13" s="30" t="s">
        <v>23</v>
      </c>
      <c r="C13" s="31">
        <f>(C12/100)*C7</f>
        <v>35000</v>
      </c>
      <c r="E13" s="41">
        <v>2</v>
      </c>
      <c r="F13" s="14">
        <f>($C$9*($C$10*(1+($C$11/100))^(E13-1)))</f>
        <v>1468.8</v>
      </c>
      <c r="G13" s="14">
        <v>0</v>
      </c>
      <c r="H13" s="14">
        <f>(-J10*0.224)*($C$18/100)*($C$8/100)</f>
        <v>0</v>
      </c>
      <c r="I13" s="14">
        <f>IF(E13&lt;=$C$16,IF(E13=$C$16,$C$17*$C$31,12*$C$31),0)</f>
        <v>0</v>
      </c>
      <c r="J13" s="14">
        <f aca="true" t="shared" si="0" ref="J13:J20">F13+H13+G13+I13</f>
        <v>1468.8</v>
      </c>
      <c r="K13" s="14">
        <f aca="true" t="shared" si="1" ref="K13:K36">K12+J13</f>
        <v>-32091.2</v>
      </c>
      <c r="O13" s="3"/>
      <c r="P13" s="4"/>
    </row>
    <row r="14" spans="2:16" ht="15.75">
      <c r="B14" s="30" t="s">
        <v>17</v>
      </c>
      <c r="C14" s="31">
        <f>C7*(1-(C12/100))</f>
        <v>0</v>
      </c>
      <c r="E14" s="41">
        <v>3</v>
      </c>
      <c r="F14" s="14">
        <f aca="true" t="shared" si="2" ref="F14:F41">($C$9*($C$10*(1+($C$11/100))^(E14-1)))</f>
        <v>1498.176</v>
      </c>
      <c r="G14" s="14">
        <v>0</v>
      </c>
      <c r="H14" s="14">
        <f>(-J10*0.1344)*($C$18/100)*($C$8/100)</f>
        <v>0</v>
      </c>
      <c r="I14" s="14">
        <f>IF(E14&lt;=$C$16,IF(E14=$C$16,$C$17*$C$31,12*$C$31),0)</f>
        <v>0</v>
      </c>
      <c r="J14" s="14">
        <f t="shared" si="0"/>
        <v>1498.176</v>
      </c>
      <c r="K14" s="14">
        <f t="shared" si="1"/>
        <v>-30593.024</v>
      </c>
      <c r="O14" s="3"/>
      <c r="P14" s="4"/>
    </row>
    <row r="15" spans="2:16" ht="15.75">
      <c r="B15" s="30" t="s">
        <v>30</v>
      </c>
      <c r="C15" s="32">
        <v>10</v>
      </c>
      <c r="E15" s="41">
        <v>4</v>
      </c>
      <c r="F15" s="14">
        <f t="shared" si="2"/>
        <v>1528.1395199999997</v>
      </c>
      <c r="G15" s="14">
        <v>0</v>
      </c>
      <c r="H15" s="14">
        <f>(-J10*0.08064)*($C$18/100)*($C$8/100)</f>
        <v>0</v>
      </c>
      <c r="I15" s="14">
        <f>IF(E15&lt;=$C$16,IF(E15=$C$16,(12-$C$17)*$C$31,12*$C$31),0)</f>
        <v>0</v>
      </c>
      <c r="J15" s="14">
        <f t="shared" si="0"/>
        <v>1528.1395199999997</v>
      </c>
      <c r="K15" s="14">
        <f t="shared" si="1"/>
        <v>-29064.88448</v>
      </c>
      <c r="O15" s="3"/>
      <c r="P15" s="4"/>
    </row>
    <row r="16" spans="2:11" ht="15.75">
      <c r="B16" s="30" t="s">
        <v>18</v>
      </c>
      <c r="C16" s="32">
        <v>8</v>
      </c>
      <c r="E16" s="43">
        <v>5</v>
      </c>
      <c r="F16" s="44">
        <f t="shared" si="2"/>
        <v>1558.7023103999998</v>
      </c>
      <c r="G16" s="44">
        <v>0</v>
      </c>
      <c r="H16" s="44">
        <f>(-J10*0.08064)*($C$18/100)*($C$8/100)</f>
        <v>0</v>
      </c>
      <c r="I16" s="44">
        <f>IF(E16&lt;=$C$16,IF(E16=$C$16,$C$17*$C$31,12*$C$31),0)</f>
        <v>0</v>
      </c>
      <c r="J16" s="44">
        <f t="shared" si="0"/>
        <v>1558.7023103999998</v>
      </c>
      <c r="K16" s="44">
        <f t="shared" si="1"/>
        <v>-27506.1821696</v>
      </c>
    </row>
    <row r="17" spans="2:24" ht="15.75">
      <c r="B17" s="30" t="s">
        <v>19</v>
      </c>
      <c r="C17" s="32">
        <v>0</v>
      </c>
      <c r="E17" s="41">
        <v>6</v>
      </c>
      <c r="F17" s="14">
        <f t="shared" si="2"/>
        <v>1589.876356608</v>
      </c>
      <c r="G17" s="14">
        <f aca="true" t="shared" si="3" ref="G17:G41">($C$9*$C$20)*((1+($C$21/100))^(E17-1))*-1</f>
        <v>-69.55644445799999</v>
      </c>
      <c r="H17" s="15">
        <f>(-J10*0.04042)*($C$18/100)*($C$8/100)</f>
        <v>0</v>
      </c>
      <c r="I17" s="14">
        <f>IF(E17&lt;=$C$16,IF(E17=$C$16,$C$17*$C$31,12*$C$31),0)</f>
        <v>0</v>
      </c>
      <c r="J17" s="14">
        <f t="shared" si="0"/>
        <v>1520.31991215</v>
      </c>
      <c r="K17" s="14">
        <f t="shared" si="1"/>
        <v>-25985.86225745</v>
      </c>
      <c r="Q17" s="3"/>
      <c r="R17" s="3"/>
      <c r="S17" s="3"/>
      <c r="T17" s="3"/>
      <c r="U17" s="3"/>
      <c r="V17" s="3"/>
      <c r="W17" s="3"/>
      <c r="X17" s="3"/>
    </row>
    <row r="18" spans="2:24" ht="15.75">
      <c r="B18" s="30" t="s">
        <v>20</v>
      </c>
      <c r="C18" s="32">
        <v>35</v>
      </c>
      <c r="E18" s="41">
        <v>7</v>
      </c>
      <c r="F18" s="14">
        <f t="shared" si="2"/>
        <v>1621.6738837401601</v>
      </c>
      <c r="G18" s="14">
        <f t="shared" si="3"/>
        <v>-71.64313779173999</v>
      </c>
      <c r="H18" s="14">
        <v>0</v>
      </c>
      <c r="I18" s="14">
        <f>IF(E18&lt;=$C$16,IF(E18=$C$16,$C$17*$C$31,12*$C$31),0)</f>
        <v>0</v>
      </c>
      <c r="J18" s="14">
        <f t="shared" si="0"/>
        <v>1550.0307459484202</v>
      </c>
      <c r="K18" s="14">
        <f t="shared" si="1"/>
        <v>-24435.83151150158</v>
      </c>
      <c r="Q18" s="3"/>
      <c r="R18" s="3"/>
      <c r="S18" s="3"/>
      <c r="T18" s="3"/>
      <c r="U18" s="3"/>
      <c r="V18" s="3"/>
      <c r="W18" s="3"/>
      <c r="X18" s="3"/>
    </row>
    <row r="19" spans="2:15" ht="15.75">
      <c r="B19" s="30" t="s">
        <v>21</v>
      </c>
      <c r="C19" s="32">
        <v>8</v>
      </c>
      <c r="E19" s="41">
        <v>8</v>
      </c>
      <c r="F19" s="14">
        <f t="shared" si="2"/>
        <v>1654.107361414963</v>
      </c>
      <c r="G19" s="14">
        <f t="shared" si="3"/>
        <v>-73.7924319254922</v>
      </c>
      <c r="H19" s="14">
        <v>0</v>
      </c>
      <c r="I19" s="14">
        <f>IF(E19&lt;=$C$16,IF((E19-1)=$C$16,$C$17*$C$31,12*$C$31),0)</f>
        <v>0</v>
      </c>
      <c r="J19" s="14">
        <f t="shared" si="0"/>
        <v>1580.3149294894708</v>
      </c>
      <c r="K19" s="14">
        <f t="shared" si="1"/>
        <v>-22855.516582012107</v>
      </c>
      <c r="O19" s="3"/>
    </row>
    <row r="20" spans="2:15" ht="15.75">
      <c r="B20" s="30" t="s">
        <v>12</v>
      </c>
      <c r="C20" s="34">
        <v>0.005</v>
      </c>
      <c r="E20" s="41">
        <v>9</v>
      </c>
      <c r="F20" s="14">
        <f t="shared" si="2"/>
        <v>1687.1895086432623</v>
      </c>
      <c r="G20" s="14">
        <f t="shared" si="3"/>
        <v>-76.00620488325696</v>
      </c>
      <c r="H20" s="14">
        <v>0</v>
      </c>
      <c r="I20" s="14">
        <f aca="true" t="shared" si="4" ref="I20:I41">IF(E20&lt;=$C$16,IF(E20=$C$16,$C$17*$I$49,12*$I$49),0)</f>
        <v>0</v>
      </c>
      <c r="J20" s="14">
        <f t="shared" si="0"/>
        <v>1611.1833037600054</v>
      </c>
      <c r="K20" s="14">
        <f t="shared" si="1"/>
        <v>-21244.333278252103</v>
      </c>
      <c r="O20" s="3"/>
    </row>
    <row r="21" spans="2:15" ht="15.75">
      <c r="B21" s="30" t="s">
        <v>13</v>
      </c>
      <c r="C21" s="32">
        <v>3</v>
      </c>
      <c r="E21" s="43">
        <v>10</v>
      </c>
      <c r="F21" s="44">
        <f t="shared" si="2"/>
        <v>1720.9332988161275</v>
      </c>
      <c r="G21" s="44">
        <f t="shared" si="3"/>
        <v>-78.28639102975467</v>
      </c>
      <c r="H21" s="44">
        <v>0</v>
      </c>
      <c r="I21" s="44">
        <f t="shared" si="4"/>
        <v>0</v>
      </c>
      <c r="J21" s="44">
        <f aca="true" t="shared" si="5" ref="J21:J36">F21+H21+G21+I21</f>
        <v>1642.6469077863728</v>
      </c>
      <c r="K21" s="44">
        <f t="shared" si="1"/>
        <v>-19601.68637046573</v>
      </c>
      <c r="O21" s="3"/>
    </row>
    <row r="22" spans="2:15" ht="15.75">
      <c r="B22" s="3" t="s">
        <v>47</v>
      </c>
      <c r="C22" s="8">
        <v>0</v>
      </c>
      <c r="E22" s="41">
        <v>11</v>
      </c>
      <c r="F22" s="14">
        <f t="shared" si="2"/>
        <v>1755.3519647924502</v>
      </c>
      <c r="G22" s="14">
        <f t="shared" si="3"/>
        <v>-80.6349827606473</v>
      </c>
      <c r="H22" s="14">
        <v>0</v>
      </c>
      <c r="I22" s="14">
        <f t="shared" si="4"/>
        <v>0</v>
      </c>
      <c r="J22" s="14">
        <f t="shared" si="5"/>
        <v>1674.716982031803</v>
      </c>
      <c r="K22" s="14">
        <f t="shared" si="1"/>
        <v>-17926.96938843393</v>
      </c>
      <c r="O22" s="3"/>
    </row>
    <row r="23" spans="2:11" ht="15.75">
      <c r="B23" s="3" t="s">
        <v>48</v>
      </c>
      <c r="C23" s="8">
        <v>0</v>
      </c>
      <c r="E23" s="41">
        <v>12</v>
      </c>
      <c r="F23" s="14">
        <f t="shared" si="2"/>
        <v>1790.459004088299</v>
      </c>
      <c r="G23" s="14">
        <f t="shared" si="3"/>
        <v>-83.05403224346674</v>
      </c>
      <c r="H23" s="14">
        <v>0</v>
      </c>
      <c r="I23" s="14">
        <f t="shared" si="4"/>
        <v>0</v>
      </c>
      <c r="J23" s="14">
        <f t="shared" si="5"/>
        <v>1707.4049718448323</v>
      </c>
      <c r="K23" s="14">
        <f t="shared" si="1"/>
        <v>-16219.564416589095</v>
      </c>
    </row>
    <row r="24" spans="2:11" ht="15.75">
      <c r="B24" s="3" t="s">
        <v>49</v>
      </c>
      <c r="C24" s="8">
        <v>0</v>
      </c>
      <c r="E24" s="41">
        <v>13</v>
      </c>
      <c r="F24" s="14">
        <f t="shared" si="2"/>
        <v>1826.268184170065</v>
      </c>
      <c r="G24" s="14">
        <f t="shared" si="3"/>
        <v>-85.54565321077072</v>
      </c>
      <c r="H24" s="14">
        <v>0</v>
      </c>
      <c r="I24" s="14">
        <f t="shared" si="4"/>
        <v>0</v>
      </c>
      <c r="J24" s="14">
        <f t="shared" si="5"/>
        <v>1740.7225309592943</v>
      </c>
      <c r="K24" s="14">
        <f t="shared" si="1"/>
        <v>-14478.841885629801</v>
      </c>
    </row>
    <row r="25" spans="5:11" ht="15.75">
      <c r="E25" s="41">
        <v>14</v>
      </c>
      <c r="F25" s="14">
        <f t="shared" si="2"/>
        <v>1862.7935478534662</v>
      </c>
      <c r="G25" s="14">
        <f t="shared" si="3"/>
        <v>-88.11202280709384</v>
      </c>
      <c r="H25" s="14">
        <v>0</v>
      </c>
      <c r="I25" s="14">
        <f t="shared" si="4"/>
        <v>0</v>
      </c>
      <c r="J25" s="14">
        <f t="shared" si="5"/>
        <v>1774.6815250463724</v>
      </c>
      <c r="K25" s="14">
        <f t="shared" si="1"/>
        <v>-12704.160360583428</v>
      </c>
    </row>
    <row r="26" spans="2:11" ht="18.75" thickBot="1">
      <c r="B26" s="16" t="s">
        <v>32</v>
      </c>
      <c r="C26" s="10"/>
      <c r="E26" s="43">
        <v>15</v>
      </c>
      <c r="F26" s="44">
        <f t="shared" si="2"/>
        <v>1900.0494188105356</v>
      </c>
      <c r="G26" s="44">
        <f t="shared" si="3"/>
        <v>-90.75538349130666</v>
      </c>
      <c r="H26" s="44">
        <v>0</v>
      </c>
      <c r="I26" s="44">
        <f t="shared" si="4"/>
        <v>0</v>
      </c>
      <c r="J26" s="44">
        <f t="shared" si="5"/>
        <v>1809.294035319229</v>
      </c>
      <c r="K26" s="44">
        <f t="shared" si="1"/>
        <v>-10894.8663252642</v>
      </c>
    </row>
    <row r="27" spans="5:11" ht="16.5" thickTop="1">
      <c r="E27" s="41">
        <v>16</v>
      </c>
      <c r="F27" s="14">
        <f t="shared" si="2"/>
        <v>1938.050407186746</v>
      </c>
      <c r="G27" s="14">
        <f t="shared" si="3"/>
        <v>-93.47804499604587</v>
      </c>
      <c r="H27" s="14">
        <v>0</v>
      </c>
      <c r="I27" s="14">
        <f t="shared" si="4"/>
        <v>0</v>
      </c>
      <c r="J27" s="14">
        <f t="shared" si="5"/>
        <v>1844.5723621907002</v>
      </c>
      <c r="K27" s="14">
        <f t="shared" si="1"/>
        <v>-9050.2939630735</v>
      </c>
    </row>
    <row r="28" spans="2:11" ht="15.75">
      <c r="B28" s="24" t="s">
        <v>24</v>
      </c>
      <c r="C28" s="1"/>
      <c r="E28" s="41">
        <v>17</v>
      </c>
      <c r="F28" s="14">
        <f t="shared" si="2"/>
        <v>1976.8114153304814</v>
      </c>
      <c r="G28" s="14">
        <f t="shared" si="3"/>
        <v>-96.28238634592722</v>
      </c>
      <c r="H28" s="14">
        <v>0</v>
      </c>
      <c r="I28" s="14">
        <f t="shared" si="4"/>
        <v>0</v>
      </c>
      <c r="J28" s="14">
        <f t="shared" si="5"/>
        <v>1880.529028984554</v>
      </c>
      <c r="K28" s="14">
        <f t="shared" si="1"/>
        <v>-7169.764934088946</v>
      </c>
    </row>
    <row r="29" spans="2:11" ht="15.75">
      <c r="B29" s="35" t="s">
        <v>25</v>
      </c>
      <c r="C29" s="36">
        <f>(PPMT(($C$15/12)%,(($C$16*12)/2),($C$16*12),$C$14)+IPMT(($C$15/12)%,(($C$16*12)/2),($C$16*12),$C$14))</f>
        <v>0</v>
      </c>
      <c r="E29" s="41">
        <v>18</v>
      </c>
      <c r="F29" s="14">
        <f t="shared" si="2"/>
        <v>2016.3476436370909</v>
      </c>
      <c r="G29" s="14">
        <f t="shared" si="3"/>
        <v>-99.17085793630504</v>
      </c>
      <c r="H29" s="14">
        <v>0</v>
      </c>
      <c r="I29" s="14">
        <f t="shared" si="4"/>
        <v>0</v>
      </c>
      <c r="J29" s="14">
        <f t="shared" si="5"/>
        <v>1917.1767857007858</v>
      </c>
      <c r="K29" s="14">
        <f t="shared" si="1"/>
        <v>-5252.58814838816</v>
      </c>
    </row>
    <row r="30" spans="2:11" ht="15.75">
      <c r="B30" s="35" t="s">
        <v>27</v>
      </c>
      <c r="C30" s="36">
        <f>IPMT(($C$15/12)%,(($C$16*12)/2),($C$16*12),$C$14)*(C18/100)*-1</f>
        <v>0</v>
      </c>
      <c r="E30" s="41">
        <v>19</v>
      </c>
      <c r="F30" s="14">
        <f t="shared" si="2"/>
        <v>2056.6745965098326</v>
      </c>
      <c r="G30" s="14">
        <f t="shared" si="3"/>
        <v>-102.14598367439419</v>
      </c>
      <c r="H30" s="14">
        <v>0</v>
      </c>
      <c r="I30" s="14">
        <f t="shared" si="4"/>
        <v>0</v>
      </c>
      <c r="J30" s="14">
        <f t="shared" si="5"/>
        <v>1954.5286128354383</v>
      </c>
      <c r="K30" s="14">
        <f t="shared" si="1"/>
        <v>-3298.059535552722</v>
      </c>
    </row>
    <row r="31" spans="2:11" ht="15.75">
      <c r="B31" s="35" t="s">
        <v>26</v>
      </c>
      <c r="C31" s="36">
        <f>C29+C30</f>
        <v>0</v>
      </c>
      <c r="E31" s="43">
        <v>20</v>
      </c>
      <c r="F31" s="44">
        <f t="shared" si="2"/>
        <v>2097.808088440029</v>
      </c>
      <c r="G31" s="44">
        <f t="shared" si="3"/>
        <v>-105.21036318462602</v>
      </c>
      <c r="H31" s="44">
        <v>0</v>
      </c>
      <c r="I31" s="44">
        <f t="shared" si="4"/>
        <v>0</v>
      </c>
      <c r="J31" s="44">
        <f t="shared" si="5"/>
        <v>1992.5977252554032</v>
      </c>
      <c r="K31" s="44">
        <f t="shared" si="1"/>
        <v>-1305.4618102973188</v>
      </c>
    </row>
    <row r="32" spans="2:11" ht="15.75">
      <c r="B32" s="3"/>
      <c r="E32" s="41">
        <v>21</v>
      </c>
      <c r="F32" s="14">
        <f t="shared" si="2"/>
        <v>2139.76425020883</v>
      </c>
      <c r="G32" s="14">
        <f t="shared" si="3"/>
        <v>-108.3666740801648</v>
      </c>
      <c r="H32" s="15">
        <v>0</v>
      </c>
      <c r="I32" s="15">
        <f t="shared" si="4"/>
        <v>0</v>
      </c>
      <c r="J32" s="14">
        <f t="shared" si="5"/>
        <v>2031.3975761286654</v>
      </c>
      <c r="K32" s="15">
        <f t="shared" si="1"/>
        <v>725.9357658313465</v>
      </c>
    </row>
    <row r="33" spans="2:11" ht="15.75">
      <c r="B33" s="24" t="s">
        <v>37</v>
      </c>
      <c r="C33" s="1"/>
      <c r="E33" s="42">
        <v>22</v>
      </c>
      <c r="F33" s="14">
        <f t="shared" si="2"/>
        <v>2182.5595352130067</v>
      </c>
      <c r="G33" s="14">
        <f t="shared" si="3"/>
        <v>-111.61767430256972</v>
      </c>
      <c r="H33" s="15">
        <v>0</v>
      </c>
      <c r="I33" s="15">
        <f t="shared" si="4"/>
        <v>0</v>
      </c>
      <c r="J33" s="14">
        <f t="shared" si="5"/>
        <v>2070.941860910437</v>
      </c>
      <c r="K33" s="15">
        <f t="shared" si="1"/>
        <v>2796.8776267417834</v>
      </c>
    </row>
    <row r="34" spans="2:11" ht="15.75">
      <c r="B34" s="35" t="s">
        <v>35</v>
      </c>
      <c r="C34" s="36">
        <f>(C9/12)*C10</f>
        <v>120</v>
      </c>
      <c r="E34" s="42">
        <v>23</v>
      </c>
      <c r="F34" s="14">
        <f t="shared" si="2"/>
        <v>2226.2107259172667</v>
      </c>
      <c r="G34" s="14">
        <f t="shared" si="3"/>
        <v>-114.96620453164682</v>
      </c>
      <c r="H34" s="15">
        <v>0</v>
      </c>
      <c r="I34" s="15">
        <f t="shared" si="4"/>
        <v>0</v>
      </c>
      <c r="J34" s="14">
        <f t="shared" si="5"/>
        <v>2111.24452138562</v>
      </c>
      <c r="K34" s="15">
        <f t="shared" si="1"/>
        <v>4908.122148127403</v>
      </c>
    </row>
    <row r="35" spans="2:11" ht="15.75">
      <c r="B35" s="35" t="s">
        <v>36</v>
      </c>
      <c r="C35" s="36">
        <f>($C$9*$C$10*(((1+($C$11/100))^10))/12)</f>
        <v>146.27933039937085</v>
      </c>
      <c r="E35" s="42">
        <v>24</v>
      </c>
      <c r="F35" s="14">
        <f t="shared" si="2"/>
        <v>2270.7349404356114</v>
      </c>
      <c r="G35" s="14">
        <f t="shared" si="3"/>
        <v>-118.41519066759624</v>
      </c>
      <c r="H35" s="15">
        <v>0</v>
      </c>
      <c r="I35" s="15">
        <f t="shared" si="4"/>
        <v>0</v>
      </c>
      <c r="J35" s="14">
        <f t="shared" si="5"/>
        <v>2152.3197497680153</v>
      </c>
      <c r="K35" s="15">
        <f t="shared" si="1"/>
        <v>7060.441897895418</v>
      </c>
    </row>
    <row r="36" spans="2:11" ht="15.75">
      <c r="B36" s="35" t="s">
        <v>34</v>
      </c>
      <c r="C36" s="36">
        <f>($C$9*$C$10*(((1+($C$11/100))^20))/12)</f>
        <v>178.3136875174025</v>
      </c>
      <c r="E36" s="43">
        <v>25</v>
      </c>
      <c r="F36" s="44">
        <f t="shared" si="2"/>
        <v>2316.149639244324</v>
      </c>
      <c r="G36" s="44">
        <f t="shared" si="3"/>
        <v>-121.96764638762411</v>
      </c>
      <c r="H36" s="44">
        <v>0</v>
      </c>
      <c r="I36" s="44">
        <f t="shared" si="4"/>
        <v>0</v>
      </c>
      <c r="J36" s="44">
        <f t="shared" si="5"/>
        <v>2194.1819928567</v>
      </c>
      <c r="K36" s="44">
        <f t="shared" si="1"/>
        <v>9254.623890752118</v>
      </c>
    </row>
    <row r="37" spans="2:11" ht="15.75">
      <c r="B37" s="35" t="s">
        <v>33</v>
      </c>
      <c r="C37" s="36">
        <f>($C$9*$C$10*(((1+($C$11/100))^30))/12)</f>
        <v>217.3633900924024</v>
      </c>
      <c r="E37" s="42">
        <v>26</v>
      </c>
      <c r="F37" s="14">
        <f t="shared" si="2"/>
        <v>2362.47263202921</v>
      </c>
      <c r="G37" s="14">
        <f t="shared" si="3"/>
        <v>-125.62667577925284</v>
      </c>
      <c r="H37" s="15">
        <v>0</v>
      </c>
      <c r="I37" s="15">
        <f t="shared" si="4"/>
        <v>0</v>
      </c>
      <c r="J37" s="15">
        <f>F37+H37+G37+I37</f>
        <v>2236.8459562499575</v>
      </c>
      <c r="K37" s="15">
        <f>K36+J37</f>
        <v>11491.469847002076</v>
      </c>
    </row>
    <row r="38" spans="5:11" ht="15.75">
      <c r="E38" s="42">
        <v>27</v>
      </c>
      <c r="F38" s="14">
        <f t="shared" si="2"/>
        <v>2409.722084669795</v>
      </c>
      <c r="G38" s="14">
        <f t="shared" si="3"/>
        <v>-129.39547605263044</v>
      </c>
      <c r="H38" s="15">
        <v>0</v>
      </c>
      <c r="I38" s="15">
        <f t="shared" si="4"/>
        <v>0</v>
      </c>
      <c r="J38" s="15">
        <f>F38+H38+G38+I38</f>
        <v>2280.3266086171648</v>
      </c>
      <c r="K38" s="15">
        <f>K37+J38</f>
        <v>13771.79645561924</v>
      </c>
    </row>
    <row r="39" spans="2:11" ht="15.75">
      <c r="B39" s="24" t="s">
        <v>41</v>
      </c>
      <c r="C39" s="1"/>
      <c r="E39" s="42">
        <v>28</v>
      </c>
      <c r="F39" s="14">
        <f t="shared" si="2"/>
        <v>2457.9165263631903</v>
      </c>
      <c r="G39" s="14">
        <f t="shared" si="3"/>
        <v>-133.27734033420933</v>
      </c>
      <c r="H39" s="15">
        <v>0</v>
      </c>
      <c r="I39" s="15">
        <f t="shared" si="4"/>
        <v>0</v>
      </c>
      <c r="J39" s="15">
        <f>F39+H39+G39+I39</f>
        <v>2324.639186028981</v>
      </c>
      <c r="K39" s="15">
        <f>K38+J39</f>
        <v>16096.43564164822</v>
      </c>
    </row>
    <row r="40" spans="2:11" ht="15.75">
      <c r="B40" s="35" t="s">
        <v>44</v>
      </c>
      <c r="C40" s="38">
        <f>IRR(J10:J41)</f>
        <v>0.030166135502054676</v>
      </c>
      <c r="E40" s="42">
        <v>29</v>
      </c>
      <c r="F40" s="14">
        <f t="shared" si="2"/>
        <v>2507.0748568904546</v>
      </c>
      <c r="G40" s="14">
        <f t="shared" si="3"/>
        <v>-137.27566054423562</v>
      </c>
      <c r="H40" s="15">
        <v>0</v>
      </c>
      <c r="I40" s="15">
        <f t="shared" si="4"/>
        <v>0</v>
      </c>
      <c r="J40" s="15">
        <f>F40+H40+G40+I40</f>
        <v>2369.799196346219</v>
      </c>
      <c r="K40" s="15">
        <f>K39+J40</f>
        <v>18466.234837994438</v>
      </c>
    </row>
    <row r="41" spans="5:11" ht="15.75">
      <c r="E41" s="43">
        <v>30</v>
      </c>
      <c r="F41" s="44">
        <f t="shared" si="2"/>
        <v>2557.2163540282636</v>
      </c>
      <c r="G41" s="44">
        <f t="shared" si="3"/>
        <v>-141.39393036056268</v>
      </c>
      <c r="H41" s="44">
        <v>0</v>
      </c>
      <c r="I41" s="44">
        <f t="shared" si="4"/>
        <v>0</v>
      </c>
      <c r="J41" s="44">
        <f>F41+H41+G41+I41</f>
        <v>2415.822423667701</v>
      </c>
      <c r="K41" s="44">
        <f>K40+J41</f>
        <v>20882.05726166214</v>
      </c>
    </row>
    <row r="42" ht="12">
      <c r="E42" s="46" t="s">
        <v>51</v>
      </c>
    </row>
    <row r="43" ht="12">
      <c r="E43" s="46" t="s">
        <v>42</v>
      </c>
    </row>
    <row r="44" spans="5:9" ht="12">
      <c r="E44" s="7"/>
      <c r="H44" s="8"/>
      <c r="I44" s="6"/>
    </row>
    <row r="45" spans="5:9" ht="12">
      <c r="E45" s="11"/>
      <c r="F45" s="11"/>
      <c r="G45" s="11"/>
      <c r="H45" s="25"/>
      <c r="I45" s="25"/>
    </row>
    <row r="46" ht="12">
      <c r="E46" s="8"/>
    </row>
    <row r="47" spans="7:9" ht="12">
      <c r="G47" s="3"/>
      <c r="H47" s="9"/>
      <c r="I47" s="9"/>
    </row>
    <row r="48" spans="7:9" ht="12">
      <c r="G48" s="3"/>
      <c r="H48" s="9"/>
      <c r="I48" s="9"/>
    </row>
    <row r="49" spans="7:9" ht="12">
      <c r="G49" s="3"/>
      <c r="H49" s="9"/>
      <c r="I49" s="9"/>
    </row>
    <row r="50" spans="5:9" ht="12">
      <c r="E50" s="8"/>
      <c r="H50" s="9"/>
      <c r="I50" s="9"/>
    </row>
    <row r="51" spans="7:9" ht="12">
      <c r="G51" s="3"/>
      <c r="H51" s="9"/>
      <c r="I51" s="9"/>
    </row>
    <row r="52" spans="7:9" ht="12">
      <c r="G52" s="3"/>
      <c r="H52" s="9"/>
      <c r="I52" s="9"/>
    </row>
    <row r="53" spans="7:9" ht="12">
      <c r="G53" s="3"/>
      <c r="H53" s="9"/>
      <c r="I53" s="9"/>
    </row>
    <row r="54" spans="8:9" ht="12">
      <c r="H54" s="9"/>
      <c r="I54" s="9"/>
    </row>
  </sheetData>
  <mergeCells count="3">
    <mergeCell ref="C4:E4"/>
    <mergeCell ref="E8:E9"/>
    <mergeCell ref="E11:K11"/>
  </mergeCells>
  <printOptions/>
  <pageMargins left="0.5" right="0.5" top="1" bottom="0.5" header="0.5" footer="0.5"/>
  <pageSetup fitToHeight="1" fitToWidth="1" horizontalDpi="300" verticalDpi="300" orientation="portrait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4"/>
  <sheetViews>
    <sheetView workbookViewId="0" topLeftCell="A7">
      <selection activeCell="C8" sqref="C8"/>
    </sheetView>
  </sheetViews>
  <sheetFormatPr defaultColWidth="11.421875" defaultRowHeight="12"/>
  <cols>
    <col min="1" max="1" width="2.28125" style="2" customWidth="1"/>
    <col min="2" max="2" width="29.28125" style="2" customWidth="1"/>
    <col min="3" max="3" width="9.7109375" style="2" customWidth="1"/>
    <col min="4" max="4" width="4.140625" style="2" customWidth="1"/>
    <col min="5" max="5" width="8.00390625" style="2" customWidth="1"/>
    <col min="6" max="8" width="10.8515625" style="2" customWidth="1"/>
    <col min="9" max="9" width="11.8515625" style="2" customWidth="1"/>
    <col min="10" max="11" width="12.28125" style="2" customWidth="1"/>
    <col min="12" max="12" width="10.28125" style="2" customWidth="1"/>
    <col min="13" max="15" width="12.00390625" style="2" customWidth="1"/>
    <col min="16" max="24" width="8.00390625" style="2" customWidth="1"/>
    <col min="25" max="16384" width="12.00390625" style="2" customWidth="1"/>
  </cols>
  <sheetData>
    <row r="1" spans="2:12" ht="28.5" thickBot="1">
      <c r="B1" s="28" t="s">
        <v>45</v>
      </c>
      <c r="C1" s="10"/>
      <c r="D1" s="10"/>
      <c r="E1" s="10"/>
      <c r="F1" s="10"/>
      <c r="G1" s="10"/>
      <c r="H1" s="10"/>
      <c r="I1" s="10"/>
      <c r="J1" s="10"/>
      <c r="K1" s="11"/>
      <c r="L1" s="11"/>
    </row>
    <row r="2" ht="12.75" thickTop="1"/>
    <row r="3" spans="2:3" ht="15.75">
      <c r="B3" s="26" t="s">
        <v>39</v>
      </c>
      <c r="C3" s="45" t="str">
        <f>'Table, Cash'!C3</f>
        <v>United States Customer</v>
      </c>
    </row>
    <row r="4" spans="2:5" ht="15.75">
      <c r="B4" s="27" t="s">
        <v>38</v>
      </c>
      <c r="C4" s="56">
        <f ca="1">NOW()</f>
        <v>37630.00560613426</v>
      </c>
      <c r="D4" s="56"/>
      <c r="E4" s="56"/>
    </row>
    <row r="6" spans="2:12" ht="18.75" thickBot="1">
      <c r="B6" s="17" t="s">
        <v>31</v>
      </c>
      <c r="C6" s="1"/>
      <c r="E6" s="16" t="s">
        <v>0</v>
      </c>
      <c r="F6" s="10"/>
      <c r="G6" s="10"/>
      <c r="H6" s="10"/>
      <c r="I6" s="10"/>
      <c r="J6" s="10"/>
      <c r="K6" s="10"/>
      <c r="L6" s="11"/>
    </row>
    <row r="7" spans="2:3" ht="12.75" thickTop="1">
      <c r="B7" s="18" t="s">
        <v>1</v>
      </c>
      <c r="C7" s="19">
        <f>'Table, Cash'!C7</f>
        <v>35000</v>
      </c>
    </row>
    <row r="8" spans="2:11" ht="12.75">
      <c r="B8" s="18" t="s">
        <v>2</v>
      </c>
      <c r="C8" s="29">
        <f>'Table, Cash'!C8</f>
        <v>0</v>
      </c>
      <c r="E8" s="5"/>
      <c r="F8" s="12" t="s">
        <v>3</v>
      </c>
      <c r="G8" s="12" t="s">
        <v>28</v>
      </c>
      <c r="H8" s="12" t="s">
        <v>3</v>
      </c>
      <c r="I8" s="12" t="s">
        <v>4</v>
      </c>
      <c r="J8" s="12" t="s">
        <v>5</v>
      </c>
      <c r="K8" s="12" t="s">
        <v>6</v>
      </c>
    </row>
    <row r="9" spans="2:11" ht="16.5" thickBot="1">
      <c r="B9" s="18" t="s">
        <v>22</v>
      </c>
      <c r="C9" s="21">
        <f>'Table, Cash'!C9</f>
        <v>12000</v>
      </c>
      <c r="E9" s="39" t="s">
        <v>7</v>
      </c>
      <c r="F9" s="13" t="s">
        <v>8</v>
      </c>
      <c r="G9" s="13" t="s">
        <v>29</v>
      </c>
      <c r="H9" s="13" t="s">
        <v>9</v>
      </c>
      <c r="I9" s="13" t="s">
        <v>10</v>
      </c>
      <c r="J9" s="13" t="s">
        <v>11</v>
      </c>
      <c r="K9" s="13" t="s">
        <v>11</v>
      </c>
    </row>
    <row r="10" spans="2:11" ht="15.75">
      <c r="B10" s="18" t="s">
        <v>14</v>
      </c>
      <c r="C10" s="23">
        <f>'Table, Cash'!C10</f>
        <v>0.12</v>
      </c>
      <c r="E10" s="40">
        <v>0</v>
      </c>
      <c r="F10" s="49"/>
      <c r="G10" s="49"/>
      <c r="H10" s="49"/>
      <c r="I10" s="49"/>
      <c r="J10" s="50">
        <f>-C13</f>
        <v>-3500</v>
      </c>
      <c r="K10" s="50">
        <f>J10</f>
        <v>-3500</v>
      </c>
    </row>
    <row r="11" spans="2:11" ht="15.75" customHeight="1">
      <c r="B11" s="18" t="s">
        <v>15</v>
      </c>
      <c r="C11" s="21">
        <f>'Table, Cash'!C11</f>
        <v>2</v>
      </c>
      <c r="E11" s="55"/>
      <c r="F11" s="55"/>
      <c r="G11" s="55"/>
      <c r="H11" s="55"/>
      <c r="I11" s="55"/>
      <c r="J11" s="55"/>
      <c r="K11" s="55"/>
    </row>
    <row r="12" spans="2:11" ht="15.75">
      <c r="B12" s="18" t="s">
        <v>16</v>
      </c>
      <c r="C12" s="20">
        <v>10</v>
      </c>
      <c r="E12" s="47">
        <v>1</v>
      </c>
      <c r="F12" s="48">
        <f>($C$9*($C$10*(1+($C$11/100))^(E12-1)))*(1-(C17/12))</f>
        <v>1440</v>
      </c>
      <c r="G12" s="48">
        <v>0</v>
      </c>
      <c r="H12" s="48">
        <f>(-'Table, Cash'!J10*0.44)*($C$18/100)*($C$8/100)</f>
        <v>0</v>
      </c>
      <c r="I12" s="48">
        <f>IF(E12&lt;=$C$16,(12-C17)*$C$31,0)</f>
        <v>-4823.925430991855</v>
      </c>
      <c r="J12" s="48">
        <f>F12+H12+G12+I12</f>
        <v>-3383.925430991855</v>
      </c>
      <c r="K12" s="48">
        <f>J10+J12</f>
        <v>-6883.925430991855</v>
      </c>
    </row>
    <row r="13" spans="2:16" ht="15.75">
      <c r="B13" s="18" t="s">
        <v>23</v>
      </c>
      <c r="C13" s="19">
        <f>(C12/100)*C7</f>
        <v>3500</v>
      </c>
      <c r="E13" s="41">
        <v>2</v>
      </c>
      <c r="F13" s="14">
        <f>($C$9*($C$10*(1+($C$11/100))^(E13-1)))</f>
        <v>1468.8</v>
      </c>
      <c r="G13" s="14">
        <v>0</v>
      </c>
      <c r="H13" s="14">
        <f>(-'Table, Cash'!J10*0.224)*($C$18/100)*($C$8/100)</f>
        <v>0</v>
      </c>
      <c r="I13" s="14">
        <f aca="true" t="shared" si="0" ref="I13:I41">IF(E13&lt;=$C$16,IF((E13-1)=$C$16,$C$17*$C$31,12*$C$31),0)</f>
        <v>-4823.925430991855</v>
      </c>
      <c r="J13" s="14">
        <f aca="true" t="shared" si="1" ref="J13:J41">F13+H13+G13+I13</f>
        <v>-3355.125430991855</v>
      </c>
      <c r="K13" s="14">
        <f aca="true" t="shared" si="2" ref="K13:K41">K12+J13</f>
        <v>-10239.05086198371</v>
      </c>
      <c r="O13" s="3"/>
      <c r="P13" s="4"/>
    </row>
    <row r="14" spans="2:16" ht="15.75">
      <c r="B14" s="18" t="s">
        <v>17</v>
      </c>
      <c r="C14" s="19">
        <f>-'Table, Cash'!J10-C13</f>
        <v>31500</v>
      </c>
      <c r="E14" s="41">
        <v>3</v>
      </c>
      <c r="F14" s="14">
        <f aca="true" t="shared" si="3" ref="F14:F41">($C$9*($C$10*(1+($C$11/100))^(E14-1)))</f>
        <v>1498.176</v>
      </c>
      <c r="G14" s="14">
        <v>0</v>
      </c>
      <c r="H14" s="14">
        <f>(-'Table, Cash'!J10*0.1344)*($C$18/100)*($C$8/100)</f>
        <v>0</v>
      </c>
      <c r="I14" s="14">
        <f t="shared" si="0"/>
        <v>-4823.925430991855</v>
      </c>
      <c r="J14" s="14">
        <f t="shared" si="1"/>
        <v>-3325.749430991855</v>
      </c>
      <c r="K14" s="14">
        <f t="shared" si="2"/>
        <v>-13564.800292975564</v>
      </c>
      <c r="O14" s="3"/>
      <c r="P14" s="4"/>
    </row>
    <row r="15" spans="2:16" ht="15.75">
      <c r="B15" s="18" t="s">
        <v>30</v>
      </c>
      <c r="C15" s="20">
        <v>8</v>
      </c>
      <c r="E15" s="41">
        <v>4</v>
      </c>
      <c r="F15" s="14">
        <f t="shared" si="3"/>
        <v>1528.1395199999997</v>
      </c>
      <c r="G15" s="14">
        <v>0</v>
      </c>
      <c r="H15" s="14">
        <f>(-'Table, Cash'!J10*0.08064)*($C$18/100)*($C$8/100)</f>
        <v>0</v>
      </c>
      <c r="I15" s="14">
        <f t="shared" si="0"/>
        <v>-4823.925430991855</v>
      </c>
      <c r="J15" s="14">
        <f t="shared" si="1"/>
        <v>-3295.7859109918554</v>
      </c>
      <c r="K15" s="14">
        <f t="shared" si="2"/>
        <v>-16860.586203967418</v>
      </c>
      <c r="O15" s="3"/>
      <c r="P15" s="4"/>
    </row>
    <row r="16" spans="2:11" ht="15.75">
      <c r="B16" s="18" t="s">
        <v>18</v>
      </c>
      <c r="C16" s="20">
        <v>8</v>
      </c>
      <c r="E16" s="43">
        <v>5</v>
      </c>
      <c r="F16" s="44">
        <f t="shared" si="3"/>
        <v>1558.7023103999998</v>
      </c>
      <c r="G16" s="44">
        <v>0</v>
      </c>
      <c r="H16" s="44">
        <f>(-'Table, Cash'!J10*0.08064)*($C$18/100)*($C$8/100)</f>
        <v>0</v>
      </c>
      <c r="I16" s="44">
        <f t="shared" si="0"/>
        <v>-4823.925430991855</v>
      </c>
      <c r="J16" s="44">
        <f t="shared" si="1"/>
        <v>-3265.223120591855</v>
      </c>
      <c r="K16" s="44">
        <f t="shared" si="2"/>
        <v>-20125.80932455927</v>
      </c>
    </row>
    <row r="17" spans="2:24" ht="15.75">
      <c r="B17" s="18" t="s">
        <v>19</v>
      </c>
      <c r="C17" s="20">
        <v>0</v>
      </c>
      <c r="E17" s="41">
        <v>6</v>
      </c>
      <c r="F17" s="14">
        <f t="shared" si="3"/>
        <v>1589.876356608</v>
      </c>
      <c r="G17" s="14">
        <f aca="true" t="shared" si="4" ref="G17:G41">($C$9*$C$20)*((1+($C$21/100))^(E17-1))*-1</f>
        <v>-69.55644445799999</v>
      </c>
      <c r="H17" s="15">
        <f>(-'Table, Cash'!J10*0.04032)*($C$18/100)*($C$8/100)</f>
        <v>0</v>
      </c>
      <c r="I17" s="14">
        <f t="shared" si="0"/>
        <v>-4823.925430991855</v>
      </c>
      <c r="J17" s="14">
        <f t="shared" si="1"/>
        <v>-3303.605518841855</v>
      </c>
      <c r="K17" s="14">
        <f t="shared" si="2"/>
        <v>-23429.414843401126</v>
      </c>
      <c r="Q17" s="3"/>
      <c r="R17" s="3"/>
      <c r="S17" s="3"/>
      <c r="T17" s="3"/>
      <c r="U17" s="3"/>
      <c r="V17" s="3"/>
      <c r="W17" s="3"/>
      <c r="X17" s="3"/>
    </row>
    <row r="18" spans="2:24" ht="15.75">
      <c r="B18" s="18" t="s">
        <v>20</v>
      </c>
      <c r="C18" s="20">
        <f>'Table, Cash'!C18</f>
        <v>35</v>
      </c>
      <c r="E18" s="41">
        <v>7</v>
      </c>
      <c r="F18" s="14">
        <f t="shared" si="3"/>
        <v>1621.6738837401601</v>
      </c>
      <c r="G18" s="14">
        <f t="shared" si="4"/>
        <v>-71.64313779173999</v>
      </c>
      <c r="H18" s="14">
        <v>0</v>
      </c>
      <c r="I18" s="14">
        <f t="shared" si="0"/>
        <v>-4823.925430991855</v>
      </c>
      <c r="J18" s="14">
        <f t="shared" si="1"/>
        <v>-3273.894685043435</v>
      </c>
      <c r="K18" s="14">
        <f t="shared" si="2"/>
        <v>-26703.30952844456</v>
      </c>
      <c r="Q18" s="3"/>
      <c r="R18" s="3"/>
      <c r="S18" s="3"/>
      <c r="T18" s="3"/>
      <c r="U18" s="3"/>
      <c r="V18" s="3"/>
      <c r="W18" s="3"/>
      <c r="X18" s="3"/>
    </row>
    <row r="19" spans="2:15" ht="15.75">
      <c r="B19" s="18" t="s">
        <v>21</v>
      </c>
      <c r="C19" s="20">
        <f>'Table, Cash'!C19</f>
        <v>8</v>
      </c>
      <c r="E19" s="41">
        <v>8</v>
      </c>
      <c r="F19" s="14">
        <f t="shared" si="3"/>
        <v>1654.107361414963</v>
      </c>
      <c r="G19" s="14">
        <f t="shared" si="4"/>
        <v>-73.7924319254922</v>
      </c>
      <c r="H19" s="14">
        <v>0</v>
      </c>
      <c r="I19" s="14">
        <f t="shared" si="0"/>
        <v>-4823.925430991855</v>
      </c>
      <c r="J19" s="14">
        <f t="shared" si="1"/>
        <v>-3243.610501502384</v>
      </c>
      <c r="K19" s="14">
        <f t="shared" si="2"/>
        <v>-29946.920029946945</v>
      </c>
      <c r="O19" s="3"/>
    </row>
    <row r="20" spans="2:15" ht="15.75">
      <c r="B20" s="18" t="s">
        <v>12</v>
      </c>
      <c r="C20" s="22">
        <f>'Table, Cash'!C20</f>
        <v>0.005</v>
      </c>
      <c r="E20" s="41">
        <v>9</v>
      </c>
      <c r="F20" s="14">
        <f t="shared" si="3"/>
        <v>1687.1895086432623</v>
      </c>
      <c r="G20" s="14">
        <f t="shared" si="4"/>
        <v>-76.00620488325696</v>
      </c>
      <c r="H20" s="14">
        <v>0</v>
      </c>
      <c r="I20" s="14">
        <f t="shared" si="0"/>
        <v>0</v>
      </c>
      <c r="J20" s="14">
        <f t="shared" si="1"/>
        <v>1611.1833037600054</v>
      </c>
      <c r="K20" s="14">
        <f t="shared" si="2"/>
        <v>-28335.73672618694</v>
      </c>
      <c r="O20" s="3"/>
    </row>
    <row r="21" spans="2:15" ht="15.75">
      <c r="B21" s="18" t="s">
        <v>13</v>
      </c>
      <c r="C21" s="21">
        <f>'Table, Cash'!C21</f>
        <v>3</v>
      </c>
      <c r="E21" s="43">
        <v>10</v>
      </c>
      <c r="F21" s="44">
        <f t="shared" si="3"/>
        <v>1720.9332988161275</v>
      </c>
      <c r="G21" s="44">
        <f t="shared" si="4"/>
        <v>-78.28639102975467</v>
      </c>
      <c r="H21" s="44">
        <v>0</v>
      </c>
      <c r="I21" s="44">
        <f t="shared" si="0"/>
        <v>0</v>
      </c>
      <c r="J21" s="44">
        <f t="shared" si="1"/>
        <v>1642.6469077863728</v>
      </c>
      <c r="K21" s="44">
        <f t="shared" si="2"/>
        <v>-26693.089818400567</v>
      </c>
      <c r="O21" s="3"/>
    </row>
    <row r="22" spans="2:15" ht="15.75">
      <c r="B22" s="3" t="s">
        <v>47</v>
      </c>
      <c r="C22" s="8">
        <f>'Table, Cash'!C22</f>
        <v>0</v>
      </c>
      <c r="E22" s="41">
        <v>11</v>
      </c>
      <c r="F22" s="14">
        <f t="shared" si="3"/>
        <v>1755.3519647924502</v>
      </c>
      <c r="G22" s="14">
        <f t="shared" si="4"/>
        <v>-80.6349827606473</v>
      </c>
      <c r="H22" s="14">
        <v>0</v>
      </c>
      <c r="I22" s="14">
        <f t="shared" si="0"/>
        <v>0</v>
      </c>
      <c r="J22" s="14">
        <f t="shared" si="1"/>
        <v>1674.716982031803</v>
      </c>
      <c r="K22" s="14">
        <f t="shared" si="2"/>
        <v>-25018.372836368766</v>
      </c>
      <c r="O22" s="3"/>
    </row>
    <row r="23" spans="2:11" ht="15.75">
      <c r="B23" s="3" t="s">
        <v>48</v>
      </c>
      <c r="C23" s="8">
        <f>'Table, Cash'!C23</f>
        <v>0</v>
      </c>
      <c r="E23" s="41">
        <v>12</v>
      </c>
      <c r="F23" s="14">
        <f t="shared" si="3"/>
        <v>1790.459004088299</v>
      </c>
      <c r="G23" s="14">
        <f t="shared" si="4"/>
        <v>-83.05403224346674</v>
      </c>
      <c r="H23" s="14">
        <v>0</v>
      </c>
      <c r="I23" s="14">
        <f t="shared" si="0"/>
        <v>0</v>
      </c>
      <c r="J23" s="14">
        <f t="shared" si="1"/>
        <v>1707.4049718448323</v>
      </c>
      <c r="K23" s="14">
        <f t="shared" si="2"/>
        <v>-23310.967864523933</v>
      </c>
    </row>
    <row r="24" spans="2:11" ht="15.75">
      <c r="B24" s="3" t="s">
        <v>49</v>
      </c>
      <c r="C24" s="8">
        <f>'Table, Cash'!C24</f>
        <v>0</v>
      </c>
      <c r="E24" s="41">
        <v>13</v>
      </c>
      <c r="F24" s="14">
        <f t="shared" si="3"/>
        <v>1826.268184170065</v>
      </c>
      <c r="G24" s="14">
        <f t="shared" si="4"/>
        <v>-85.54565321077072</v>
      </c>
      <c r="H24" s="14">
        <v>0</v>
      </c>
      <c r="I24" s="14">
        <f t="shared" si="0"/>
        <v>0</v>
      </c>
      <c r="J24" s="14">
        <f t="shared" si="1"/>
        <v>1740.7225309592943</v>
      </c>
      <c r="K24" s="14">
        <f t="shared" si="2"/>
        <v>-21570.24533356464</v>
      </c>
    </row>
    <row r="25" spans="5:11" ht="15.75">
      <c r="E25" s="41">
        <v>14</v>
      </c>
      <c r="F25" s="14">
        <f t="shared" si="3"/>
        <v>1862.7935478534662</v>
      </c>
      <c r="G25" s="14">
        <f t="shared" si="4"/>
        <v>-88.11202280709384</v>
      </c>
      <c r="H25" s="14">
        <v>0</v>
      </c>
      <c r="I25" s="14">
        <f t="shared" si="0"/>
        <v>0</v>
      </c>
      <c r="J25" s="14">
        <f t="shared" si="1"/>
        <v>1774.6815250463724</v>
      </c>
      <c r="K25" s="14">
        <f t="shared" si="2"/>
        <v>-19795.563808518265</v>
      </c>
    </row>
    <row r="26" spans="2:11" ht="18.75" thickBot="1">
      <c r="B26" s="16" t="s">
        <v>32</v>
      </c>
      <c r="C26" s="10"/>
      <c r="E26" s="43">
        <v>15</v>
      </c>
      <c r="F26" s="44">
        <f t="shared" si="3"/>
        <v>1900.0494188105356</v>
      </c>
      <c r="G26" s="44">
        <f t="shared" si="4"/>
        <v>-90.75538349130666</v>
      </c>
      <c r="H26" s="44">
        <v>0</v>
      </c>
      <c r="I26" s="44">
        <f t="shared" si="0"/>
        <v>0</v>
      </c>
      <c r="J26" s="44">
        <f t="shared" si="1"/>
        <v>1809.294035319229</v>
      </c>
      <c r="K26" s="44">
        <f t="shared" si="2"/>
        <v>-17986.269773199037</v>
      </c>
    </row>
    <row r="27" spans="5:11" ht="16.5" thickTop="1">
      <c r="E27" s="41">
        <v>16</v>
      </c>
      <c r="F27" s="14">
        <f t="shared" si="3"/>
        <v>1938.050407186746</v>
      </c>
      <c r="G27" s="14">
        <f t="shared" si="4"/>
        <v>-93.47804499604587</v>
      </c>
      <c r="H27" s="14">
        <v>0</v>
      </c>
      <c r="I27" s="14">
        <f t="shared" si="0"/>
        <v>0</v>
      </c>
      <c r="J27" s="14">
        <f t="shared" si="1"/>
        <v>1844.5723621907002</v>
      </c>
      <c r="K27" s="14">
        <f t="shared" si="2"/>
        <v>-16141.697411008337</v>
      </c>
    </row>
    <row r="28" spans="2:11" ht="15.75">
      <c r="B28" s="24" t="s">
        <v>24</v>
      </c>
      <c r="C28" s="1"/>
      <c r="E28" s="41">
        <v>17</v>
      </c>
      <c r="F28" s="14">
        <f t="shared" si="3"/>
        <v>1976.8114153304814</v>
      </c>
      <c r="G28" s="14">
        <f t="shared" si="4"/>
        <v>-96.28238634592722</v>
      </c>
      <c r="H28" s="14">
        <v>0</v>
      </c>
      <c r="I28" s="14">
        <f t="shared" si="0"/>
        <v>0</v>
      </c>
      <c r="J28" s="14">
        <f t="shared" si="1"/>
        <v>1880.529028984554</v>
      </c>
      <c r="K28" s="14">
        <f t="shared" si="2"/>
        <v>-14261.168382023783</v>
      </c>
    </row>
    <row r="29" spans="2:11" ht="15.75">
      <c r="B29" s="35" t="s">
        <v>25</v>
      </c>
      <c r="C29" s="36">
        <f>(PPMT(($C$15/12)%,(($C$16*12)/2),($C$16*12),$C$14)+IPMT(($C$15/12)%,(($C$16*12)/2),($C$16*12),$C$14))</f>
        <v>-445.3053965181639</v>
      </c>
      <c r="E29" s="41">
        <v>18</v>
      </c>
      <c r="F29" s="14">
        <f t="shared" si="3"/>
        <v>2016.3476436370909</v>
      </c>
      <c r="G29" s="14">
        <f t="shared" si="4"/>
        <v>-99.17085793630504</v>
      </c>
      <c r="H29" s="14">
        <v>0</v>
      </c>
      <c r="I29" s="14">
        <f t="shared" si="0"/>
        <v>0</v>
      </c>
      <c r="J29" s="14">
        <f t="shared" si="1"/>
        <v>1917.1767857007858</v>
      </c>
      <c r="K29" s="14">
        <f t="shared" si="2"/>
        <v>-12343.991596322998</v>
      </c>
    </row>
    <row r="30" spans="2:11" ht="15.75">
      <c r="B30" s="35" t="s">
        <v>27</v>
      </c>
      <c r="C30" s="36">
        <f>IPMT(($C$15/12)%,(($C$16*12)/2),($C$16*12),$C$14)*(C18/100)*-1</f>
        <v>43.31161060217593</v>
      </c>
      <c r="E30" s="41">
        <v>19</v>
      </c>
      <c r="F30" s="14">
        <f t="shared" si="3"/>
        <v>2056.6745965098326</v>
      </c>
      <c r="G30" s="14">
        <f t="shared" si="4"/>
        <v>-102.14598367439419</v>
      </c>
      <c r="H30" s="14">
        <v>0</v>
      </c>
      <c r="I30" s="14">
        <f t="shared" si="0"/>
        <v>0</v>
      </c>
      <c r="J30" s="14">
        <f t="shared" si="1"/>
        <v>1954.5286128354383</v>
      </c>
      <c r="K30" s="14">
        <f t="shared" si="2"/>
        <v>-10389.46298348756</v>
      </c>
    </row>
    <row r="31" spans="2:11" ht="15.75">
      <c r="B31" s="35" t="s">
        <v>26</v>
      </c>
      <c r="C31" s="36">
        <f>C29+C30</f>
        <v>-401.9937859159879</v>
      </c>
      <c r="E31" s="43">
        <v>20</v>
      </c>
      <c r="F31" s="44">
        <f t="shared" si="3"/>
        <v>2097.808088440029</v>
      </c>
      <c r="G31" s="44">
        <f t="shared" si="4"/>
        <v>-105.21036318462602</v>
      </c>
      <c r="H31" s="44">
        <v>0</v>
      </c>
      <c r="I31" s="44">
        <f t="shared" si="0"/>
        <v>0</v>
      </c>
      <c r="J31" s="44">
        <f t="shared" si="1"/>
        <v>1992.5977252554032</v>
      </c>
      <c r="K31" s="44">
        <f t="shared" si="2"/>
        <v>-8396.865258232156</v>
      </c>
    </row>
    <row r="32" spans="2:11" ht="15.75">
      <c r="B32" s="3"/>
      <c r="E32" s="41">
        <v>21</v>
      </c>
      <c r="F32" s="14">
        <f t="shared" si="3"/>
        <v>2139.76425020883</v>
      </c>
      <c r="G32" s="14">
        <f t="shared" si="4"/>
        <v>-108.3666740801648</v>
      </c>
      <c r="H32" s="15">
        <v>0</v>
      </c>
      <c r="I32" s="14">
        <f t="shared" si="0"/>
        <v>0</v>
      </c>
      <c r="J32" s="14">
        <f t="shared" si="1"/>
        <v>2031.3975761286654</v>
      </c>
      <c r="K32" s="15">
        <f t="shared" si="2"/>
        <v>-6365.46768210349</v>
      </c>
    </row>
    <row r="33" spans="2:11" ht="15.75">
      <c r="B33" s="24" t="s">
        <v>37</v>
      </c>
      <c r="C33" s="1"/>
      <c r="E33" s="42">
        <v>22</v>
      </c>
      <c r="F33" s="14">
        <f t="shared" si="3"/>
        <v>2182.5595352130067</v>
      </c>
      <c r="G33" s="14">
        <f t="shared" si="4"/>
        <v>-111.61767430256972</v>
      </c>
      <c r="H33" s="15">
        <v>0</v>
      </c>
      <c r="I33" s="14">
        <f t="shared" si="0"/>
        <v>0</v>
      </c>
      <c r="J33" s="14">
        <f t="shared" si="1"/>
        <v>2070.941860910437</v>
      </c>
      <c r="K33" s="15">
        <f t="shared" si="2"/>
        <v>-4294.525821193053</v>
      </c>
    </row>
    <row r="34" spans="2:11" ht="15.75">
      <c r="B34" s="35" t="s">
        <v>35</v>
      </c>
      <c r="C34" s="37">
        <f>(C9/12)*C10</f>
        <v>120</v>
      </c>
      <c r="E34" s="42">
        <v>23</v>
      </c>
      <c r="F34" s="14">
        <f t="shared" si="3"/>
        <v>2226.2107259172667</v>
      </c>
      <c r="G34" s="14">
        <f t="shared" si="4"/>
        <v>-114.96620453164682</v>
      </c>
      <c r="H34" s="15">
        <v>0</v>
      </c>
      <c r="I34" s="14">
        <f t="shared" si="0"/>
        <v>0</v>
      </c>
      <c r="J34" s="14">
        <f t="shared" si="1"/>
        <v>2111.24452138562</v>
      </c>
      <c r="K34" s="15">
        <f t="shared" si="2"/>
        <v>-2183.2812998074332</v>
      </c>
    </row>
    <row r="35" spans="2:11" ht="15.75">
      <c r="B35" s="35" t="s">
        <v>36</v>
      </c>
      <c r="C35" s="36">
        <f>($C$9*$C$10*(((1+($C$11/100))^10))/12)</f>
        <v>146.27933039937085</v>
      </c>
      <c r="E35" s="42">
        <v>24</v>
      </c>
      <c r="F35" s="14">
        <f t="shared" si="3"/>
        <v>2270.7349404356114</v>
      </c>
      <c r="G35" s="14">
        <f t="shared" si="4"/>
        <v>-118.41519066759624</v>
      </c>
      <c r="H35" s="15">
        <v>0</v>
      </c>
      <c r="I35" s="14">
        <f t="shared" si="0"/>
        <v>0</v>
      </c>
      <c r="J35" s="14">
        <f t="shared" si="1"/>
        <v>2152.3197497680153</v>
      </c>
      <c r="K35" s="15">
        <f t="shared" si="2"/>
        <v>-30.961550039417943</v>
      </c>
    </row>
    <row r="36" spans="2:11" ht="15.75">
      <c r="B36" s="35" t="s">
        <v>34</v>
      </c>
      <c r="C36" s="36">
        <f>($C$9*$C$10*(((1+($C$11/100))^20))/12)</f>
        <v>178.3136875174025</v>
      </c>
      <c r="E36" s="43">
        <v>25</v>
      </c>
      <c r="F36" s="44">
        <f t="shared" si="3"/>
        <v>2316.149639244324</v>
      </c>
      <c r="G36" s="44">
        <f t="shared" si="4"/>
        <v>-121.96764638762411</v>
      </c>
      <c r="H36" s="44">
        <v>0</v>
      </c>
      <c r="I36" s="44">
        <f t="shared" si="0"/>
        <v>0</v>
      </c>
      <c r="J36" s="44">
        <f t="shared" si="1"/>
        <v>2194.1819928567</v>
      </c>
      <c r="K36" s="44">
        <f t="shared" si="2"/>
        <v>2163.220442817282</v>
      </c>
    </row>
    <row r="37" spans="2:11" ht="15.75">
      <c r="B37" s="35" t="s">
        <v>33</v>
      </c>
      <c r="C37" s="36">
        <f>($C$9*$C$10*(((1+($C$11/100))^30))/12)</f>
        <v>217.3633900924024</v>
      </c>
      <c r="E37" s="42">
        <v>26</v>
      </c>
      <c r="F37" s="14">
        <f t="shared" si="3"/>
        <v>2362.47263202921</v>
      </c>
      <c r="G37" s="14">
        <f t="shared" si="4"/>
        <v>-125.62667577925284</v>
      </c>
      <c r="H37" s="15">
        <v>0</v>
      </c>
      <c r="I37" s="14">
        <f t="shared" si="0"/>
        <v>0</v>
      </c>
      <c r="J37" s="15">
        <f t="shared" si="1"/>
        <v>2236.8459562499575</v>
      </c>
      <c r="K37" s="15">
        <f t="shared" si="2"/>
        <v>4400.06639906724</v>
      </c>
    </row>
    <row r="38" spans="5:11" ht="15.75">
      <c r="E38" s="42">
        <v>27</v>
      </c>
      <c r="F38" s="14">
        <f t="shared" si="3"/>
        <v>2409.722084669795</v>
      </c>
      <c r="G38" s="14">
        <f t="shared" si="4"/>
        <v>-129.39547605263044</v>
      </c>
      <c r="H38" s="15">
        <v>0</v>
      </c>
      <c r="I38" s="14">
        <f t="shared" si="0"/>
        <v>0</v>
      </c>
      <c r="J38" s="15">
        <f t="shared" si="1"/>
        <v>2280.3266086171648</v>
      </c>
      <c r="K38" s="15">
        <f t="shared" si="2"/>
        <v>6680.393007684404</v>
      </c>
    </row>
    <row r="39" spans="2:11" ht="15.75">
      <c r="B39" s="24" t="s">
        <v>41</v>
      </c>
      <c r="C39" s="1"/>
      <c r="E39" s="42">
        <v>28</v>
      </c>
      <c r="F39" s="14">
        <f t="shared" si="3"/>
        <v>2457.9165263631903</v>
      </c>
      <c r="G39" s="14">
        <f t="shared" si="4"/>
        <v>-133.27734033420933</v>
      </c>
      <c r="H39" s="15">
        <v>0</v>
      </c>
      <c r="I39" s="14">
        <f t="shared" si="0"/>
        <v>0</v>
      </c>
      <c r="J39" s="15">
        <f t="shared" si="1"/>
        <v>2324.639186028981</v>
      </c>
      <c r="K39" s="15">
        <f t="shared" si="2"/>
        <v>9005.032193713385</v>
      </c>
    </row>
    <row r="40" spans="2:11" ht="15.75">
      <c r="B40" s="35" t="s">
        <v>44</v>
      </c>
      <c r="C40" s="38">
        <f>IRR(J10:J41)</f>
        <v>0.02406620249592901</v>
      </c>
      <c r="E40" s="42">
        <v>29</v>
      </c>
      <c r="F40" s="14">
        <f t="shared" si="3"/>
        <v>2507.0748568904546</v>
      </c>
      <c r="G40" s="14">
        <f t="shared" si="4"/>
        <v>-137.27566054423562</v>
      </c>
      <c r="H40" s="15">
        <v>0</v>
      </c>
      <c r="I40" s="14">
        <f t="shared" si="0"/>
        <v>0</v>
      </c>
      <c r="J40" s="15">
        <f t="shared" si="1"/>
        <v>2369.799196346219</v>
      </c>
      <c r="K40" s="15">
        <f t="shared" si="2"/>
        <v>11374.831390059604</v>
      </c>
    </row>
    <row r="41" spans="5:11" ht="15.75">
      <c r="E41" s="43">
        <v>30</v>
      </c>
      <c r="F41" s="44">
        <f t="shared" si="3"/>
        <v>2557.2163540282636</v>
      </c>
      <c r="G41" s="44">
        <f t="shared" si="4"/>
        <v>-141.39393036056268</v>
      </c>
      <c r="H41" s="44">
        <v>0</v>
      </c>
      <c r="I41" s="44">
        <f t="shared" si="0"/>
        <v>0</v>
      </c>
      <c r="J41" s="44">
        <f t="shared" si="1"/>
        <v>2415.822423667701</v>
      </c>
      <c r="K41" s="44">
        <f t="shared" si="2"/>
        <v>13790.653813727306</v>
      </c>
    </row>
    <row r="42" ht="12">
      <c r="E42" s="46" t="s">
        <v>50</v>
      </c>
    </row>
    <row r="43" ht="12">
      <c r="E43" s="46" t="s">
        <v>43</v>
      </c>
    </row>
    <row r="44" spans="5:9" ht="12">
      <c r="E44" s="7"/>
      <c r="H44" s="8"/>
      <c r="I44" s="6"/>
    </row>
    <row r="45" spans="5:9" ht="12">
      <c r="E45" s="11"/>
      <c r="F45" s="11"/>
      <c r="G45" s="11"/>
      <c r="H45" s="25"/>
      <c r="I45" s="25"/>
    </row>
    <row r="46" ht="12">
      <c r="E46" s="8"/>
    </row>
    <row r="47" spans="7:9" ht="12">
      <c r="G47" s="3"/>
      <c r="H47" s="9"/>
      <c r="I47" s="9"/>
    </row>
    <row r="48" spans="7:9" ht="12">
      <c r="G48" s="3"/>
      <c r="H48" s="9"/>
      <c r="I48" s="9"/>
    </row>
    <row r="49" spans="7:9" ht="12">
      <c r="G49" s="3"/>
      <c r="H49" s="9"/>
      <c r="I49" s="9"/>
    </row>
    <row r="50" spans="5:9" ht="12">
      <c r="E50" s="8"/>
      <c r="H50" s="9"/>
      <c r="I50" s="9"/>
    </row>
    <row r="51" spans="7:9" ht="12">
      <c r="G51" s="3"/>
      <c r="H51" s="9"/>
      <c r="I51" s="9"/>
    </row>
    <row r="52" spans="7:9" ht="12">
      <c r="G52" s="3"/>
      <c r="H52" s="9"/>
      <c r="I52" s="9"/>
    </row>
    <row r="53" spans="7:9" ht="12">
      <c r="G53" s="3"/>
      <c r="H53" s="9"/>
      <c r="I53" s="9"/>
    </row>
    <row r="54" spans="8:9" ht="12">
      <c r="H54" s="9"/>
      <c r="I54" s="9"/>
    </row>
  </sheetData>
  <mergeCells count="2">
    <mergeCell ref="C4:E4"/>
    <mergeCell ref="E11:K11"/>
  </mergeCells>
  <printOptions/>
  <pageMargins left="0.5" right="0.5" top="1" bottom="0.5" header="0.5" footer="0.5"/>
  <pageSetup fitToHeight="1" fitToWidth="1" horizontalDpi="300" verticalDpi="300" orientation="portrait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L.S. Bergey</dc:creator>
  <cp:keywords/>
  <dc:description/>
  <cp:lastModifiedBy>MM</cp:lastModifiedBy>
  <cp:lastPrinted>2002-03-24T03:59:22Z</cp:lastPrinted>
  <dcterms:created xsi:type="dcterms:W3CDTF">1998-07-17T13:43:32Z</dcterms:created>
  <dcterms:modified xsi:type="dcterms:W3CDTF">2007-01-10T07:33:27Z</dcterms:modified>
  <cp:category/>
  <cp:version/>
  <cp:contentType/>
  <cp:contentStatus/>
</cp:coreProperties>
</file>